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RwK4MNtPJRztrCFxTbcJwM11ClJjr4S832NiYRiEyqJVhrZyzz/y8qbXSywhL7tUJCE+dJHLhbpgSLlMbVwFOA==" workbookSaltValue="r4FyX1tJl/WEnotcIkJIT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T19" i="8" s="1"/>
  <c r="S18" i="8"/>
  <c r="R18" i="8"/>
  <c r="AW18" i="21" s="1"/>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F11" i="11" s="1"/>
  <c r="AQ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1" i="6" s="1"/>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18" i="12"/>
  <c r="ER19" i="8"/>
  <c r="EL19" i="8"/>
  <c r="EQ19" i="8"/>
  <c r="AP12" i="11"/>
  <c r="Y11" i="11"/>
  <c r="AT18" i="17"/>
  <c r="AL10" i="11"/>
  <c r="N10" i="11"/>
  <c r="N9" i="11"/>
  <c r="F10" i="10"/>
  <c r="N11" i="11"/>
  <c r="ES19" i="8"/>
  <c r="S19" i="13"/>
  <c r="AG19" i="19"/>
  <c r="F9" i="11"/>
  <c r="CI19" i="8"/>
  <c r="AE19" i="8"/>
  <c r="F17" i="16"/>
  <c r="BL17" i="16" s="1"/>
  <c r="EP19" i="8"/>
  <c r="ER19" i="13"/>
  <c r="AL13" i="16"/>
  <c r="BL9" i="11"/>
  <c r="P17" i="17"/>
  <c r="BK9" i="11"/>
  <c r="S13" i="16"/>
  <c r="H18" i="16"/>
  <c r="P13" i="16"/>
  <c r="AN13" i="20"/>
  <c r="Z13" i="17"/>
  <c r="F17" i="17"/>
  <c r="AQ17" i="17" s="1"/>
  <c r="AO17" i="11"/>
  <c r="M13" i="2"/>
  <c r="C17" i="6"/>
  <c r="AO12" i="11"/>
  <c r="T13" i="12"/>
  <c r="BM12" i="11"/>
  <c r="BJ15" i="11"/>
  <c r="R17" i="20"/>
  <c r="R18" i="20" s="1"/>
  <c r="AZ15" i="11"/>
  <c r="AZ18" i="11" s="1"/>
  <c r="BV12" i="16"/>
  <c r="U10" i="17"/>
  <c r="AA16" i="16"/>
  <c r="T16" i="11"/>
  <c r="BI9" i="11"/>
  <c r="BH11" i="11"/>
  <c r="BH12" i="16"/>
  <c r="BF15" i="8"/>
  <c r="BD9" i="8"/>
  <c r="AV18" i="17"/>
  <c r="J18" i="17"/>
  <c r="T13" i="16"/>
  <c r="AP13" i="16"/>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T20" i="21"/>
  <c r="AX20" i="20"/>
  <c r="X20" i="20"/>
  <c r="O16" i="11"/>
  <c r="T20" i="20"/>
  <c r="I20" i="20"/>
  <c r="AD20" i="20"/>
  <c r="M20" i="20"/>
  <c r="W20" i="21"/>
  <c r="W20" i="20"/>
  <c r="AI20" i="20"/>
  <c r="AG20" i="20"/>
  <c r="AU20" i="20"/>
  <c r="Y20" i="20"/>
  <c r="O20" i="20"/>
  <c r="AH20" i="20"/>
  <c r="Q20" i="20"/>
  <c r="H20" i="20"/>
  <c r="N20" i="20"/>
  <c r="U12" i="11"/>
  <c r="R20" i="20"/>
  <c r="AV20" i="20"/>
  <c r="AO20" i="20"/>
  <c r="Z20" i="20"/>
  <c r="AJ19" i="8" l="1"/>
  <c r="B17" i="6"/>
  <c r="AY18" i="8"/>
  <c r="B16" i="6"/>
  <c r="C18" i="7"/>
  <c r="B18" i="2"/>
  <c r="AO12" i="17"/>
  <c r="H13" i="12"/>
  <c r="BD12" i="8"/>
  <c r="H12" i="7" s="1"/>
  <c r="AB19" i="8"/>
  <c r="Z19" i="8"/>
  <c r="AC10" i="11"/>
  <c r="AY13" i="8"/>
  <c r="AY19" i="8" s="1"/>
  <c r="C19" i="3"/>
  <c r="T10" i="21"/>
  <c r="AO16" i="11"/>
  <c r="F9" i="2"/>
  <c r="H12" i="2"/>
  <c r="M18" i="2"/>
  <c r="N18" i="2"/>
  <c r="N19" i="2" s="1"/>
  <c r="AL11" i="11"/>
  <c r="F15" i="17"/>
  <c r="B9" i="6"/>
  <c r="BA13" i="8"/>
  <c r="L12" i="14"/>
  <c r="AO9" i="11"/>
  <c r="C11" i="6"/>
  <c r="V10" i="21"/>
  <c r="C10" i="6"/>
  <c r="BE15" i="13"/>
  <c r="BA18" i="13"/>
  <c r="BF18" i="13" s="1"/>
  <c r="BG15" i="8"/>
  <c r="E15" i="6"/>
  <c r="BD15" i="8"/>
  <c r="H15" i="7" s="1"/>
  <c r="BE15" i="8"/>
  <c r="BG16" i="8"/>
  <c r="E18" i="2"/>
  <c r="AL15" i="11"/>
  <c r="L16" i="14"/>
  <c r="F15" i="11"/>
  <c r="F16" i="17"/>
  <c r="F18" i="17" s="1"/>
  <c r="E9" i="6"/>
  <c r="K9" i="12" s="1"/>
  <c r="BF9" i="13"/>
  <c r="D11" i="12"/>
  <c r="D12" i="12"/>
  <c r="BF11" i="8"/>
  <c r="BF9" i="8"/>
  <c r="BG9" i="8"/>
  <c r="K9" i="7" s="1"/>
  <c r="BD11" i="8"/>
  <c r="H11" i="7" s="1"/>
  <c r="BE11" i="8"/>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G13" i="13" s="1"/>
  <c r="BE11" i="13"/>
  <c r="BG10" i="13"/>
  <c r="BE17" i="13"/>
  <c r="F17" i="11"/>
  <c r="AQ17" i="11" s="1"/>
  <c r="AQ15" i="11"/>
  <c r="AM15" i="11"/>
  <c r="E12" i="6"/>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I12" i="12"/>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K12" i="12"/>
  <c r="AJ18" i="11"/>
  <c r="D18" i="5"/>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I17" i="12" l="1"/>
  <c r="B19" i="7"/>
  <c r="K16" i="12"/>
  <c r="F18" i="2"/>
  <c r="D19" i="5"/>
  <c r="P12" i="11"/>
  <c r="D19" i="12"/>
  <c r="BF13" i="8"/>
  <c r="H13" i="2"/>
  <c r="I11" i="12"/>
  <c r="BW21" i="20"/>
  <c r="BK13" i="11"/>
  <c r="P16" i="11"/>
  <c r="F18" i="20"/>
  <c r="F21" i="20" s="1"/>
  <c r="AM13" i="11"/>
  <c r="F18" i="11"/>
  <c r="Y13" i="11"/>
  <c r="I15" i="12"/>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A20" i="17"/>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<sst xmlns="http://schemas.openxmlformats.org/spreadsheetml/2006/main" count="2102" uniqueCount="917">
  <si>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</si>
  <si>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</si>
  <si>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</si>
  <si>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</si>
  <si>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</si>
  <si>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</si>
  <si>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</si>
  <si>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</si>
  <si>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</si>
  <si>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</si>
  <si>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</si>
  <si>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</si>
  <si>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</si>
  <si>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</si>
  <si>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</si>
  <si>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</si>
  <si>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</si>
  <si>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</si>
  <si>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</si>
  <si>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</si>
  <si>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</si>
  <si>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</si>
  <si>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</si>
  <si>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</si>
  <si>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</si>
  <si>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</si>
  <si>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</si>
  <si>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</si>
  <si>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</si>
  <si>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</si>
  <si>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</si>
  <si>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</si>
  <si>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</si>
  <si>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</si>
  <si>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</si>
  <si>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</si>
  <si>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</si>
  <si>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</si>
  <si>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</si>
  <si>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</si>
  <si>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</si>
  <si>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</si>
  <si>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</si>
  <si>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</si>
  <si>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</si>
  <si>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</si>
  <si>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</si>
  <si>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</si>
  <si>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</si>
  <si>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</si>
  <si>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</si>
  <si>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</si>
  <si>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</si>
  <si>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</si>
  <si>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</si>
  <si>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</si>
  <si>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</si>
  <si>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</si>
  <si>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</si>
  <si>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</si>
  <si>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</si>
  <si>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</si>
  <si>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</si>
  <si>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</si>
  <si>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</si>
  <si>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</si>
  <si>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</si>
  <si>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</si>
  <si>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</si>
  <si>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</si>
  <si>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</si>
  <si>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</si>
  <si>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</si>
  <si>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</si>
  <si>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</si>
  <si>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</si>
  <si>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</si>
  <si>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</si>
  <si>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</si>
  <si>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</si>
  <si>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</si>
  <si>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</si>
  <si>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</si>
  <si>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</si>
  <si>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</si>
  <si>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</si>
  <si>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</si>
  <si>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</si>
  <si>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</si>
  <si>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</si>
  <si>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</si>
  <si>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</si>
  <si>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</si>
  <si>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</si>
  <si>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</si>
  <si>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</si>
  <si>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</si>
  <si>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</si>
  <si>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</si>
  <si>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</si>
  <si>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</si>
  <si>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</si>
  <si>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</si>
  <si>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</si>
  <si>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</si>
  <si>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</si>
  <si>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</si>
  <si>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</si>
  <si>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</si>
  <si>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</si>
  <si>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</si>
  <si>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</si>
  <si>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</si>
  <si>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</si>
  <si>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</si>
  <si>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</si>
  <si>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</si>
  <si>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</si>
  <si>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</si>
  <si>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</si>
  <si>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</si>
  <si>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</si>
  <si>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</si>
  <si>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</si>
  <si>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</si>
  <si>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</si>
  <si>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</si>
  <si>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</si>
  <si>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</si>
  <si>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</si>
  <si>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</si>
  <si>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</si>
  <si>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</si>
  <si>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</si>
  <si>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</si>
  <si>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</si>
  <si>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</si>
  <si>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</si>
  <si>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</si>
  <si>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</si>
  <si>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</si>
  <si>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</si>
  <si>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</si>
  <si>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</si>
  <si>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</si>
  <si>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</si>
  <si>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</si>
  <si>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</si>
  <si>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</si>
  <si>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</si>
  <si>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</si>
  <si>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</si>
  <si>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</si>
  <si>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</si>
  <si>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</si>
  <si>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</si>
  <si>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</si>
  <si>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</si>
  <si>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</si>
  <si>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</si>
  <si>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</si>
  <si>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</si>
  <si>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</si>
  <si>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</si>
  <si>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</si>
  <si>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</si>
  <si>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</si>
  <si>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</si>
  <si>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</si>
  <si>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</si>
  <si>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</si>
  <si>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</si>
  <si>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</si>
  <si>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</si>
  <si>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</si>
  <si>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</si>
  <si>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</si>
  <si>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</si>
  <si>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</si>
  <si>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</si>
  <si>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</si>
  <si>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</si>
  <si>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</si>
  <si>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</si>
  <si>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</si>
  <si>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</si>
  <si>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</si>
  <si>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</si>
  <si>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</si>
  <si>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</si>
  <si>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</si>
  <si>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</si>
  <si>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</si>
  <si>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</si>
  <si>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</si>
  <si>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</si>
  <si>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</si>
  <si>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</si>
  <si>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</si>
  <si>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</si>
  <si>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</si>
  <si>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</si>
  <si>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</si>
  <si>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</si>
  <si>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</si>
  <si>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</si>
  <si>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</si>
  <si>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</si>
  <si>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</si>
  <si>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</si>
  <si>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</si>
  <si>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</si>
  <si>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</si>
  <si>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</si>
  <si>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</si>
  <si>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</si>
  <si>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</si>
  <si>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</si>
  <si>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</si>
  <si>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</si>
  <si>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</si>
  <si>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</si>
  <si>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</si>
  <si>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</si>
  <si>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</si>
  <si>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</si>
  <si>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</si>
  <si>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</si>
  <si>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</si>
  <si>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</si>
  <si>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</si>
  <si>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</si>
  <si>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</si>
  <si>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</si>
  <si>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</si>
  <si>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</si>
  <si>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</si>
  <si>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</si>
  <si>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</si>
  <si>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</si>
  <si>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</si>
  <si>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</si>
  <si>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</si>
  <si>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</si>
  <si>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</si>
  <si>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</si>
  <si>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</si>
  <si>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</si>
  <si>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</si>
  <si>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</si>
  <si>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</si>
  <si>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</si>
  <si>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</si>
  <si>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</si>
  <si>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</si>
  <si>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</si>
  <si>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</si>
  <si>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</si>
  <si>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</si>
  <si>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</si>
  <si>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</si>
  <si>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</si>
  <si>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</si>
  <si>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</si>
  <si>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</si>
  <si>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</si>
  <si>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</si>
  <si>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</si>
  <si>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</si>
  <si>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</si>
  <si>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</si>
  <si>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</si>
  <si>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</si>
  <si>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</si>
  <si>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</si>
  <si>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</si>
  <si>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</si>
  <si>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</si>
  <si>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</si>
  <si>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</si>
  <si>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</si>
  <si>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</si>
  <si>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</si>
  <si>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</si>
  <si>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</si>
  <si>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</si>
  <si>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</si>
  <si>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</si>
  <si>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</si>
  <si>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</si>
  <si>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</si>
  <si>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</si>
  <si>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</si>
  <si>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</si>
  <si>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</si>
  <si>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</si>
  <si>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</si>
  <si>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</si>
  <si>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</si>
  <si>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</si>
  <si>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</si>
  <si>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</si>
  <si>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</si>
  <si>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</si>
  <si>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</si>
  <si>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</si>
  <si>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</si>
  <si>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</si>
  <si>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</si>
  <si>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</si>
  <si>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</si>
  <si>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</si>
  <si>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</si>
  <si>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</si>
  <si>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</si>
  <si>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</si>
  <si>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</si>
  <si>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</si>
  <si>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</si>
  <si>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</si>
  <si>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</si>
  <si>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</si>
  <si>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</si>
  <si>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</si>
  <si>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</si>
  <si>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</si>
  <si>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</si>
  <si>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</si>
  <si>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</si>
  <si>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</si>
  <si>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</si>
  <si>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</si>
  <si>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</si>
  <si>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</si>
  <si>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</si>
  <si>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</si>
  <si>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</si>
  <si>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</si>
  <si>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</si>
  <si>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</si>
  <si>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</si>
  <si>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</si>
  <si>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</si>
  <si>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</si>
  <si>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</si>
  <si>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</si>
  <si>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</si>
  <si>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</si>
  <si>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</si>
  <si>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</si>
  <si>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</si>
  <si>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</si>
  <si>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</si>
  <si>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</si>
  <si>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</si>
  <si>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</si>
  <si>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</si>
  <si>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</si>
  <si>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</si>
  <si>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</si>
  <si>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</si>
  <si>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</si>
  <si>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</si>
  <si>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</si>
  <si>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</si>
  <si>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</si>
  <si>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</si>
  <si>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</si>
  <si>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</si>
  <si>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</si>
  <si>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</si>
  <si>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</si>
  <si>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</si>
  <si>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</si>
  <si>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</si>
  <si>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</si>
  <si>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</si>
  <si>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</si>
  <si>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</si>
  <si>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</si>
  <si>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</si>
  <si>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</si>
  <si>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</si>
  <si>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</si>
  <si>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</si>
  <si>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</si>
  <si>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</si>
  <si>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</si>
  <si>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</si>
  <si>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</si>
  <si>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</si>
  <si>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</si>
  <si>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</si>
  <si>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</si>
  <si>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</si>
  <si>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</si>
  <si>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</si>
  <si>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</si>
  <si>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</si>
  <si>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</si>
  <si>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</si>
  <si>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</si>
  <si>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</si>
  <si>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</si>
  <si>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</si>
  <si>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</si>
  <si>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</si>
  <si>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</si>
  <si>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</si>
  <si>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</si>
  <si>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</si>
  <si>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</si>
  <si>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</si>
  <si>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</si>
  <si>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</si>
  <si>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</si>
  <si>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</si>
  <si>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</si>
  <si>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</si>
  <si>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</si>
  <si>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</si>
  <si>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</si>
  <si>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</si>
  <si>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</si>
  <si>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</si>
  <si>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</si>
  <si>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</si>
  <si>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</si>
  <si>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</si>
  <si>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</si>
  <si>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</si>
  <si>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</si>
  <si>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</si>
  <si>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</si>
  <si>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</si>
  <si>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</si>
  <si>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</si>
  <si>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</si>
  <si>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</si>
  <si>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</si>
  <si>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</si>
  <si>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</si>
  <si>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</si>
  <si>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</si>
  <si>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</si>
  <si>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</si>
  <si>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</si>
  <si>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</si>
  <si>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</si>
  <si>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</si>
  <si>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</si>
  <si>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</si>
  <si>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</si>
  <si>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</si>
  <si>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</si>
  <si>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</si>
  <si>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</si>
  <si>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</si>
  <si>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</si>
  <si>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</si>
  <si>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</si>
  <si>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</si>
  <si>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</si>
  <si>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</si>
  <si>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</si>
  <si>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</si>
  <si>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</si>
  <si>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</si>
  <si>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</si>
  <si>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</si>
  <si>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</si>
  <si>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</si>
  <si>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</si>
  <si>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</si>
  <si>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</si>
  <si>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</si>
  <si>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</si>
  <si>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</si>
  <si>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</si>
  <si>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</si>
  <si>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</si>
  <si>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</si>
  <si>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</si>
  <si>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</si>
  <si>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</si>
  <si>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</si>
  <si>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</si>
  <si>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</si>
  <si>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</si>
  <si>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</si>
  <si>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</si>
  <si>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</si>
  <si>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</si>
  <si>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</si>
  <si>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</si>
  <si>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</si>
  <si>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</si>
  <si>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</si>
  <si>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</si>
  <si>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</si>
  <si>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</si>
  <si>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</si>
  <si>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</si>
  <si>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</si>
  <si>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</si>
  <si>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</si>
  <si>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</si>
  <si>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</si>
  <si>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</si>
  <si>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</si>
  <si>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</si>
  <si>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</si>
  <si>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</si>
  <si>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</si>
  <si>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</si>
  <si>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</si>
  <si>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</si>
  <si>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</si>
  <si>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</si>
  <si>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</si>
  <si>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</si>
  <si>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</si>
  <si>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</si>
  <si>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</si>
  <si>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</si>
  <si>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</si>
  <si>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</si>
  <si>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</si>
  <si>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</si>
  <si>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</si>
  <si>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</si>
  <si>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</si>
  <si>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</si>
  <si>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</si>
  <si>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</si>
  <si>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</si>
  <si>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</si>
  <si>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</si>
  <si>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</si>
  <si>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</si>
  <si>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</si>
  <si>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</si>
  <si>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</si>
  <si>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</si>
  <si>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</si>
  <si>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</si>
  <si>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</si>
  <si>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</si>
  <si>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</si>
  <si>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</si>
  <si>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</si>
  <si>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</si>
  <si>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</si>
  <si>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</si>
  <si>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</si>
  <si>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</si>
  <si>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</si>
  <si>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</si>
  <si>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</si>
  <si>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</si>
  <si>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</si>
  <si>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</si>
  <si>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</si>
  <si>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</si>
  <si>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</si>
  <si>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</si>
  <si>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</si>
  <si>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</si>
  <si>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</si>
  <si>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</si>
  <si>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</si>
  <si>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</si>
  <si>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</si>
  <si>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</si>
  <si>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</si>
  <si>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</si>
  <si>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</si>
  <si>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</si>
  <si>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</si>
  <si>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</si>
  <si>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</si>
  <si>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</si>
  <si>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</si>
  <si>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</si>
  <si>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</si>
  <si>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</si>
  <si>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</si>
  <si>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</si>
  <si>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</si>
  <si>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</si>
  <si>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</si>
  <si>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</si>
  <si>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</si>
  <si>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</si>
  <si>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</si>
  <si>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</si>
  <si>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</si>
  <si>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</si>
  <si>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</si>
  <si>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</si>
  <si>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</si>
  <si>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</si>
  <si>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</si>
  <si>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</si>
  <si>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</si>
  <si>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</si>
  <si>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</si>
  <si>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</si>
  <si>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</si>
  <si>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</si>
  <si>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</si>
  <si>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</si>
  <si>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</si>
  <si>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</si>
  <si>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</si>
  <si>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</si>
  <si>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</si>
  <si>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</si>
  <si>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</si>
  <si>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</si>
  <si>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</si>
  <si>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</si>
  <si>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</si>
  <si>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</si>
  <si>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</si>
  <si>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</si>
  <si>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</si>
  <si>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</si>
  <si>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</si>
  <si>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</si>
  <si>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</si>
  <si>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</si>
  <si>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</si>
  <si>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</si>
  <si>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</si>
  <si>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</si>
  <si>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</si>
  <si>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</si>
  <si>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</si>
  <si>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</si>
  <si>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</si>
  <si>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</si>
  <si>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</si>
  <si>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</si>
  <si>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</si>
  <si>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</si>
  <si>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</si>
  <si>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</si>
  <si>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</si>
  <si>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</si>
  <si>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</si>
  <si>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</si>
  <si>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</si>
  <si>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</si>
  <si>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</si>
  <si>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</si>
  <si>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</si>
  <si>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</si>
  <si>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</si>
  <si>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</si>
  <si>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</si>
  <si>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</si>
  <si>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</si>
  <si>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</si>
  <si>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</si>
  <si>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</si>
  <si>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</si>
  <si>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</si>
  <si>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</si>
  <si>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</si>
  <si>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</si>
  <si>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</si>
  <si>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</si>
  <si>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</si>
  <si>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</si>
  <si>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</si>
  <si>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</si>
  <si>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</si>
  <si>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</si>
  <si>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</si>
  <si>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</si>
  <si>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</si>
  <si>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</si>
  <si>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</si>
  <si>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</si>
  <si>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</si>
  <si>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</si>
  <si>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</si>
  <si>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</si>
  <si>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</si>
  <si>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</si>
  <si>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</si>
  <si>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</si>
  <si>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</si>
  <si>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</si>
  <si>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</si>
  <si>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</si>
  <si>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</si>
  <si>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</si>
  <si>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</si>
  <si>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</si>
  <si>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</si>
  <si>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</si>
  <si>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</si>
  <si>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</si>
  <si>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</si>
  <si>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</si>
  <si>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</si>
  <si>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</si>
  <si>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</si>
  <si>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</si>
  <si>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</si>
  <si>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</si>
  <si>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</si>
  <si>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</si>
  <si>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</si>
  <si>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</si>
  <si>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</si>
  <si>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</si>
  <si>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</si>
  <si>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</si>
  <si>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</si>
  <si>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</si>
  <si>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</si>
  <si>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</si>
  <si>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</si>
  <si>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</si>
  <si>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</si>
  <si>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</si>
  <si>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</si>
  <si>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</si>
  <si>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</si>
  <si>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</si>
  <si>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</si>
  <si>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</si>
  <si>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</si>
  <si>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</si>
  <si>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</si>
  <si>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</si>
  <si>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</si>
  <si>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</si>
  <si>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</si>
  <si>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</si>
  <si>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</si>
  <si>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</si>
  <si>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</si>
  <si>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</si>
  <si>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</si>
  <si>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</si>
  <si>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</si>
  <si>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</si>
  <si>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</si>
  <si>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</si>
  <si>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</si>
  <si>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</si>
  <si>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</si>
  <si>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</si>
  <si>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</si>
  <si>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</si>
  <si>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</si>
  <si>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</si>
  <si>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</si>
  <si>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</si>
  <si>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</si>
  <si>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</si>
  <si>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</si>
  <si>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</si>
  <si>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</si>
  <si>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</si>
  <si>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</si>
  <si>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</si>
  <si>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</si>
  <si>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</si>
  <si>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</si>
  <si>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</si>
  <si>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</si>
  <si>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</si>
  <si>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</si>
  <si>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</si>
  <si>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</si>
  <si>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</si>
  <si>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</si>
  <si>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</si>
  <si>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</si>
  <si>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</si>
  <si>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</si>
  <si>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</si>
  <si>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</si>
  <si>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</si>
  <si>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</si>
  <si>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</si>
  <si>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</si>
  <si>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</si>
  <si>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</si>
  <si>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</si>
  <si>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</si>
  <si>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</si>
  <si>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</si>
  <si>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</si>
  <si>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</si>
  <si>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</si>
  <si>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</si>
  <si>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</si>
  <si>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</si>
  <si>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</si>
  <si>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</si>
  <si>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</si>
  <si>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</si>
  <si>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</si>
  <si>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</si>
  <si>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</si>
  <si>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</si>
  <si>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</si>
  <si>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</si>
  <si>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</si>
  <si>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</si>
  <si>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</si>
  <si>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</si>
  <si>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</si>
  <si>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</si>
  <si>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</si>
  <si>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</si>
  <si>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</si>
  <si>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</si>
  <si>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</si>
  <si>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</si>
  <si>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</si>
  <si>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</si>
  <si>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</si>
  <si>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</si>
  <si>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</si>
  <si>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</si>
  <si>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</si>
  <si>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</si>
  <si>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</si>
  <si>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</si>
  <si>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</si>
  <si>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</si>
  <si>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</si>
  <si>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</si>
  <si>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</si>
  <si>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</si>
  <si>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</si>
  <si>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</si>
  <si>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</si>
  <si>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</si>
  <si>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</si>
  <si>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</si>
  <si>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</si>
  <si>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</si>
  <si>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</si>
  <si>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</si>
  <si>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</si>
  <si>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</si>
  <si>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</si>
  <si>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</si>
  <si>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</si>
  <si>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</si>
  <si>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</si>
  <si>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</si>
  <si>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</si>
  <si>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</si>
  <si>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</si>
  <si>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</si>
  <si>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</si>
  <si>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</si>
  <si>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</si>
  <si>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</si>
  <si>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</si>
  <si>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</si>
  <si>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</si>
  <si>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</si>
  <si>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</si>
  <si>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</si>
  <si>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</si>
  <si>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</si>
  <si>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</si>
  <si>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</si>
  <si>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</si>
  <si>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</si>
  <si>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</si>
  <si>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</si>
  <si>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</si>
  <si>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</si>
  <si>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</si>
  <si>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</si>
  <si>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</si>
  <si>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</si>
  <si>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</si>
  <si>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</si>
  <si>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</si>
  <si>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</si>
  <si>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</si>
  <si>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</si>
  <si>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</si>
  <si>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</si>
  <si>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</si>
  <si>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</si>
  <si>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</si>
  <si>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</si>
  <si>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</si>
  <si>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</si>
  <si>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</si>
  <si>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</si>
  <si>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</si>
  <si>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</si>
  <si>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</si>
  <si>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</si>
  <si>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</si>
  <si>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</si>
  <si>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</si>
  <si>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</si>
  <si>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</si>
  <si>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ASTURIAS</t>
  </si>
  <si>
    <t>Provincias</t>
  </si>
  <si>
    <t>Resumenes por Partidos Judiciales</t>
  </si>
  <si>
    <t>LLANES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</si>
</sst>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pQv8Nj8fj72l5xmkJMqEjz1Ju10atqImWANaWnZrLCOeAYjoELERbQR3YdTuAKNNQAWRAbWLlfrp0i8/rBnRIw==" saltValue="Z89JhF33yENUbHnsGQV1V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ASTURIAS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v>
      </c>
      <c r="D10" s="224">
        <f>IF(ISNUMBER(Datos!I10),Datos!I10," - ")</f>
        <v>1</v>
      </c>
      <c r="E10" s="225">
        <f>IF(ISNUMBER(Datos!J10),Datos!J10," - ")</f>
        <v>1</v>
      </c>
      <c r="F10" s="225">
        <f>IF(ISNUMBER(Datos!K10),Datos!K10," - ")</f>
        <v>1</v>
      </c>
      <c r="G10" s="1033" t="str">
        <f>IF(Datos!E10&lt;&gt;"",Datos!E10,Datos!D10)</f>
        <v>37</v>
      </c>
      <c r="H10" s="226">
        <f>IF(ISNUMBER(Datos!L10),Datos!L10," - ")</f>
        <v>1</v>
      </c>
      <c r="I10" s="1043" t="str">
        <f>IF(ISNUMBER(Datos!AS10/Datos!BM10),Datos!AS10/Datos!BM10," - ")</f>
        <v xml:space="preserve"> - </v>
      </c>
      <c r="J10" s="1044">
        <f>IF(ISNUMBER(Datos!BY10/Datos!CN10),Datos!BY10/Datos!CN10," - ")</f>
        <v>0</v>
      </c>
      <c r="K10" s="229">
        <f t="shared" ref="K10:K12" si="1">IF(ISNUMBER((E10-F10)/C10),(E10-F10)/C10," - ")</f>
        <v>0</v>
      </c>
      <c r="L10" s="1024">
        <f>IF(ISNUMBER(NºAsuntos!I10/NºAsuntos!G10),(NºAsuntos!I10/NºAsuntos!G10)*11," - ")</f>
        <v>11</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26.73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v>
      </c>
      <c r="D13" s="1048">
        <f>SUBTOTAL(9,D9:D12)</f>
        <v>1</v>
      </c>
      <c r="E13" s="1049">
        <f>SUBTOTAL(9,E9:E12)</f>
        <v>1</v>
      </c>
      <c r="F13" s="1050">
        <f>SUBTOTAL(9,F9:F12)</f>
        <v>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312</v>
      </c>
      <c r="D16" s="224">
        <f>IF(ISNUMBER(IF(D_I="SI",Datos!I16,Datos!I16+Datos!AC16)),IF(D_I="SI",Datos!I16,Datos!I16+Datos!AC16)," - ")</f>
        <v>312</v>
      </c>
      <c r="E16" s="225">
        <f>IF(ISNUMBER(IF(D_I="SI",Datos!J16,Datos!J16+Datos!AD16)),IF(D_I="SI",Datos!J16,Datos!J16+Datos!AD16)," - ")</f>
        <v>222</v>
      </c>
      <c r="F16" s="225">
        <f>IF(ISNUMBER(IF(D_I="SI",Datos!K16,Datos!K16+Datos!AE16)),IF(D_I="SI",Datos!K16,Datos!K16+Datos!AE16)," - ")</f>
        <v>245</v>
      </c>
      <c r="G16" s="1033" t="str">
        <f>IF(Datos!E16&lt;&gt;"",Datos!E16,Datos!D16)</f>
        <v>04</v>
      </c>
      <c r="H16" s="226">
        <f>IF(ISNUMBER(IF(D_I="SI",Datos!L16,Datos!L16+Datos!AF16)),IF(D_I="SI",Datos!L16,Datos!L16+Datos!AF16)," - ")</f>
        <v>289</v>
      </c>
      <c r="I16" s="1043" t="str">
        <f>IF(ISNUMBER(Datos!AS16/Datos!BM16),Datos!AS16/Datos!BM16," - ")</f>
        <v xml:space="preserve"> - </v>
      </c>
      <c r="J16" s="1044">
        <f>IF(ISNUMBER(Datos!BY16/Datos!CN16),Datos!BY16/Datos!CN16," - ")</f>
        <v>0</v>
      </c>
      <c r="K16" s="229">
        <f t="shared" si="3"/>
        <v>-7.371794871794872E-2</v>
      </c>
      <c r="L16" s="1024">
        <f>IF(ISNUMBER(NºAsuntos!I16/NºAsuntos!G16),(NºAsuntos!I16/NºAsuntos!G16)*11," - ")</f>
        <v>12.975510204081631</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16</v>
      </c>
      <c r="D17" s="224">
        <f>IF(ISNUMBER(IF(D_I="SI",Datos!I17,Datos!I17+Datos!AC17)),IF(D_I="SI",Datos!I17,Datos!I17+Datos!AC17)," - ")</f>
        <v>16</v>
      </c>
      <c r="E17" s="225">
        <f>IF(ISNUMBER(IF(D_I="SI",Datos!J17,Datos!J17+Datos!AD17)),IF(D_I="SI",Datos!J17,Datos!J17+Datos!AD17)," - ")</f>
        <v>6</v>
      </c>
      <c r="F17" s="225">
        <f>IF(ISNUMBER(IF(D_I="SI",Datos!K17,Datos!K17+Datos!AE17)),IF(D_I="SI",Datos!K17,Datos!K17+Datos!AE17)," - ")</f>
        <v>7</v>
      </c>
      <c r="G17" s="1033" t="str">
        <f>IF(Datos!E17&lt;&gt;"",Datos!E17,Datos!D17)</f>
        <v>37</v>
      </c>
      <c r="H17" s="226">
        <f>IF(ISNUMBER(IF(D_I="SI",Datos!L17,Datos!L17+Datos!AF17)),IF(D_I="SI",Datos!L17,Datos!L17+Datos!AF17)," - ")</f>
        <v>15</v>
      </c>
      <c r="I17" s="1043" t="str">
        <f>IF(ISNUMBER(Datos!AS17/Datos!BM17),Datos!AS17/Datos!BM17," - ")</f>
        <v xml:space="preserve"> - </v>
      </c>
      <c r="J17" s="1044" t="str">
        <f>IF(ISNUMBER((Datos!BY17+Datos!BZ17)/Datos!CN17),(Datos!BY17+Datos!BZ17)/Datos!CN17," - ")</f>
        <v xml:space="preserve"> - </v>
      </c>
      <c r="K17" s="229">
        <f t="shared" si="3"/>
        <v>-6.25E-2</v>
      </c>
      <c r="L17" s="1024">
        <f>IF(ISNUMBER(NºAsuntos!I17/NºAsuntos!G17),(NºAsuntos!I17/NºAsuntos!G17)*11," - ")</f>
        <v>23.571428571428569</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328</v>
      </c>
      <c r="D18" s="1048">
        <f>SUBTOTAL(9,D15:D17)</f>
        <v>328</v>
      </c>
      <c r="E18" s="1049">
        <f>SUBTOTAL(9,E15:E17)</f>
        <v>228</v>
      </c>
      <c r="F18" s="1049">
        <f>SUBTOTAL(9,F15:F17)</f>
        <v>252</v>
      </c>
      <c r="G18" s="1051" t="str">
        <f ca="1">INDIRECT(CONCATENATE("G",ROW()-1))</f>
        <v>37</v>
      </c>
      <c r="H18" s="1052">
        <f ca="1">SUMIF(G$14:G17,G18,H$14:H17)</f>
        <v>15</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329</v>
      </c>
      <c r="D19" s="1070">
        <f>SUBTOTAL(9,D9:D18)</f>
        <v>329</v>
      </c>
      <c r="E19" s="1071">
        <f>SUBTOTAL(9,E9:E18)</f>
        <v>229</v>
      </c>
      <c r="F19" s="1071">
        <f>SUBTOTAL(9,F9:F18)</f>
        <v>253</v>
      </c>
      <c r="G19" s="1072"/>
      <c r="H19" s="1073">
        <f ca="1">SUMIF(B9:B18,"TOTAL",H9:H18)</f>
        <v>15</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Bw3Eq3V7MBNKBvlcbmSBBTDwoOXm5uBu6Cz1YI2hh0vJYywCYs+7e3ZQtoDIaeaGrNvWIcHB9BXt2tWrVXh/ug==" saltValue="xpeOZCAUEX/wSbubhX6gA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PJg6yNXOEAarFu39On5ng/C1Q9A40aZOG2UO3syfx5HHu0LIPM6KLAWe7Ogyu0wJo2anuIsZHFBKn35la3aP2g==" saltValue="KdNOVRQugHuFspkkcEABh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v>
      </c>
      <c r="J10" s="180">
        <v>1</v>
      </c>
      <c r="K10" s="180">
        <v>1</v>
      </c>
      <c r="L10" s="180">
        <v>1</v>
      </c>
      <c r="M10" s="180">
        <v>1</v>
      </c>
      <c r="N10" s="180">
        <v>0</v>
      </c>
      <c r="O10" s="180">
        <v>0</v>
      </c>
      <c r="P10" s="180">
        <v>0</v>
      </c>
      <c r="Q10" s="180">
        <v>0</v>
      </c>
      <c r="R10" s="180">
        <v>0</v>
      </c>
      <c r="S10" s="180">
        <v>1</v>
      </c>
      <c r="T10" s="180">
        <v>1</v>
      </c>
      <c r="U10" s="180">
        <v>1</v>
      </c>
      <c r="V10" s="180">
        <v>1</v>
      </c>
      <c r="W10" s="180">
        <v>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v>
      </c>
      <c r="AZ10" s="129">
        <f t="shared" si="0"/>
        <v>1</v>
      </c>
      <c r="BA10" s="129">
        <f t="shared" si="0"/>
        <v>1</v>
      </c>
      <c r="BB10" s="129">
        <f t="shared" si="0"/>
        <v>1</v>
      </c>
      <c r="BC10" s="125">
        <f t="shared" si="0"/>
        <v>1</v>
      </c>
      <c r="BD10" s="126">
        <f>IF(ISNUMBER(BA10/AZ10),BA10/AZ10," - ")</f>
        <v>1</v>
      </c>
      <c r="BE10" s="127">
        <f>IF(ISNUMBER(BB10/BA10),BB10/BA10, " - ")</f>
        <v>1</v>
      </c>
      <c r="BF10" s="127">
        <f>IF(ISNUMBER(BC10/BA10),BC10/BA10, " - ")</f>
        <v>1</v>
      </c>
      <c r="BG10" s="195">
        <f>IF(ISNUMBER((AY10+AZ10)/BA10),(AY10+AZ10)/BA10," - ")</f>
        <v>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429</v>
      </c>
      <c r="J12" s="182">
        <v>189</v>
      </c>
      <c r="K12" s="182">
        <v>160</v>
      </c>
      <c r="L12" s="182">
        <v>458</v>
      </c>
      <c r="M12" s="182">
        <v>46</v>
      </c>
      <c r="N12" s="182">
        <v>85</v>
      </c>
      <c r="O12" s="180">
        <v>100</v>
      </c>
      <c r="P12" s="182">
        <v>42</v>
      </c>
      <c r="Q12" s="182">
        <v>37</v>
      </c>
      <c r="R12" s="182">
        <v>809</v>
      </c>
      <c r="S12" s="182">
        <v>407</v>
      </c>
      <c r="T12" s="182">
        <v>287</v>
      </c>
      <c r="U12" s="182">
        <v>314</v>
      </c>
      <c r="V12" s="182">
        <v>380</v>
      </c>
      <c r="W12" s="182">
        <v>82</v>
      </c>
      <c r="X12" s="188">
        <v>36</v>
      </c>
      <c r="Y12" s="190">
        <v>39</v>
      </c>
      <c r="Z12" s="180">
        <v>29</v>
      </c>
      <c r="AA12" s="180">
        <v>40</v>
      </c>
      <c r="AB12" s="180">
        <v>28</v>
      </c>
      <c r="AC12" s="182">
        <v>0</v>
      </c>
      <c r="AD12" s="182">
        <v>0</v>
      </c>
      <c r="AE12" s="182">
        <v>0</v>
      </c>
      <c r="AF12" s="188">
        <v>0</v>
      </c>
      <c r="AG12" s="201">
        <v>8</v>
      </c>
      <c r="AH12" s="182">
        <v>9</v>
      </c>
      <c r="AI12" s="182">
        <v>7</v>
      </c>
      <c r="AJ12" s="202">
        <v>10</v>
      </c>
      <c r="AK12" s="181">
        <v>0</v>
      </c>
      <c r="AL12" s="182">
        <v>0</v>
      </c>
      <c r="AM12" s="182">
        <v>0</v>
      </c>
      <c r="AN12" s="188">
        <v>0</v>
      </c>
      <c r="AO12" s="258">
        <v>1</v>
      </c>
      <c r="AP12" s="154">
        <v>1</v>
      </c>
      <c r="AQ12" s="154">
        <v>1</v>
      </c>
      <c r="AR12" s="153">
        <v>1</v>
      </c>
      <c r="AS12" s="339" t="s">
        <v>794</v>
      </c>
      <c r="AT12" s="202"/>
      <c r="AU12" s="201"/>
      <c r="AV12" s="202"/>
      <c r="AW12" s="201"/>
      <c r="AX12" s="202"/>
      <c r="AY12" s="126">
        <f t="shared" si="1"/>
        <v>415</v>
      </c>
      <c r="AZ12" s="127">
        <f t="shared" si="1"/>
        <v>296</v>
      </c>
      <c r="BA12" s="127">
        <f t="shared" si="1"/>
        <v>321</v>
      </c>
      <c r="BB12" s="127">
        <f t="shared" si="1"/>
        <v>390</v>
      </c>
      <c r="BC12" s="125">
        <f>IF(ISNUMBER(X12),X12," - ")</f>
        <v>36</v>
      </c>
      <c r="BD12" s="126">
        <f t="shared" si="2"/>
        <v>1.0844594594594594</v>
      </c>
      <c r="BE12" s="127">
        <f t="shared" si="3"/>
        <v>1.2149532710280373</v>
      </c>
      <c r="BF12" s="127">
        <f t="shared" si="4"/>
        <v>0.11214953271028037</v>
      </c>
      <c r="BG12" s="195">
        <f t="shared" si="5"/>
        <v>2.2149532710280373</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430</v>
      </c>
      <c r="J13" s="183">
        <f t="shared" si="6"/>
        <v>190</v>
      </c>
      <c r="K13" s="183">
        <f t="shared" si="6"/>
        <v>161</v>
      </c>
      <c r="L13" s="183">
        <f t="shared" si="6"/>
        <v>459</v>
      </c>
      <c r="M13" s="183">
        <f t="shared" si="6"/>
        <v>47</v>
      </c>
      <c r="N13" s="183">
        <f t="shared" si="6"/>
        <v>85</v>
      </c>
      <c r="O13" s="183">
        <f t="shared" si="6"/>
        <v>100</v>
      </c>
      <c r="P13" s="183">
        <f t="shared" si="6"/>
        <v>42</v>
      </c>
      <c r="Q13" s="183">
        <f t="shared" si="6"/>
        <v>37</v>
      </c>
      <c r="R13" s="183">
        <f t="shared" si="6"/>
        <v>809</v>
      </c>
      <c r="S13" s="183">
        <f t="shared" si="6"/>
        <v>408</v>
      </c>
      <c r="T13" s="183">
        <f t="shared" si="6"/>
        <v>288</v>
      </c>
      <c r="U13" s="183">
        <f t="shared" si="6"/>
        <v>315</v>
      </c>
      <c r="V13" s="183">
        <f t="shared" si="6"/>
        <v>381</v>
      </c>
      <c r="W13" s="183">
        <f t="shared" si="6"/>
        <v>83</v>
      </c>
      <c r="X13" s="183">
        <f t="shared" si="6"/>
        <v>36</v>
      </c>
      <c r="Y13" s="183">
        <f t="shared" si="6"/>
        <v>39</v>
      </c>
      <c r="Z13" s="183">
        <f t="shared" si="6"/>
        <v>29</v>
      </c>
      <c r="AA13" s="183">
        <f t="shared" si="6"/>
        <v>40</v>
      </c>
      <c r="AB13" s="183">
        <f t="shared" si="6"/>
        <v>28</v>
      </c>
      <c r="AC13" s="183">
        <f t="shared" si="6"/>
        <v>0</v>
      </c>
      <c r="AD13" s="183">
        <f t="shared" si="6"/>
        <v>0</v>
      </c>
      <c r="AE13" s="183">
        <f t="shared" si="6"/>
        <v>0</v>
      </c>
      <c r="AF13" s="183">
        <f>SUBTOTAL(9,AF9:AF12)</f>
        <v>0</v>
      </c>
      <c r="AG13" s="183">
        <f t="shared" ref="AG13:AT13" si="7">SUBTOTAL(9,AG8:AG12)</f>
        <v>8</v>
      </c>
      <c r="AH13" s="183">
        <f t="shared" si="7"/>
        <v>9</v>
      </c>
      <c r="AI13" s="183">
        <f t="shared" si="7"/>
        <v>7</v>
      </c>
      <c r="AJ13" s="183">
        <f t="shared" si="7"/>
        <v>10</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416</v>
      </c>
      <c r="AZ13" s="183">
        <f>SUBTOTAL(9,AZ8:AZ12)</f>
        <v>297</v>
      </c>
      <c r="BA13" s="183">
        <f>SUBTOTAL(9,BA8:BA12)</f>
        <v>322</v>
      </c>
      <c r="BB13" s="183">
        <f>SUBTOTAL(9,BB8:BB12)</f>
        <v>391</v>
      </c>
      <c r="BC13" s="183">
        <f>SUBTOTAL(9,BC8:BC12)</f>
        <v>37</v>
      </c>
      <c r="BD13" s="204">
        <f>IF(ISNUMBER(BA13/AZ13),BA13/AZ13," - ")</f>
        <v>1.0841750841750841</v>
      </c>
      <c r="BE13" s="205">
        <f>IF(ISNUMBER(BB13/BA13),BB13/BA13, " - ")</f>
        <v>1.2142857142857142</v>
      </c>
      <c r="BF13" s="205">
        <f>IF(ISNUMBER(BC13/BA13),BC13/BA13, " - ")</f>
        <v>0.11490683229813664</v>
      </c>
      <c r="BG13" s="206">
        <f>IF(ISNUMBER((AY13+AZ13)/BA13),(AY13+AZ13)/BA13," - ")</f>
        <v>2.2142857142857144</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312</v>
      </c>
      <c r="J16" s="182">
        <v>222</v>
      </c>
      <c r="K16" s="182">
        <v>245</v>
      </c>
      <c r="L16" s="182">
        <v>289</v>
      </c>
      <c r="M16" s="182">
        <v>25</v>
      </c>
      <c r="N16" s="182">
        <v>170</v>
      </c>
      <c r="O16" s="180">
        <v>10</v>
      </c>
      <c r="P16" s="182">
        <v>8</v>
      </c>
      <c r="Q16" s="182">
        <v>10</v>
      </c>
      <c r="R16" s="182">
        <v>67</v>
      </c>
      <c r="S16" s="182">
        <v>262</v>
      </c>
      <c r="T16" s="182">
        <v>234</v>
      </c>
      <c r="U16" s="182">
        <v>248</v>
      </c>
      <c r="V16" s="182">
        <v>248</v>
      </c>
      <c r="W16" s="182">
        <v>39</v>
      </c>
      <c r="X16" s="188">
        <v>179</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262</v>
      </c>
      <c r="AZ16" s="127">
        <f t="shared" si="9"/>
        <v>234</v>
      </c>
      <c r="BA16" s="127">
        <f t="shared" si="9"/>
        <v>248</v>
      </c>
      <c r="BB16" s="127">
        <f t="shared" si="9"/>
        <v>248</v>
      </c>
      <c r="BC16" s="125">
        <f>IF(ISNUMBER(W16),W16," - ")</f>
        <v>39</v>
      </c>
      <c r="BD16" s="126">
        <f t="shared" ref="BD16" si="11">IF(ISNUMBER(BA16/AZ16),BA16/AZ16," - ")</f>
        <v>1.0598290598290598</v>
      </c>
      <c r="BE16" s="127">
        <f t="shared" ref="BE16" si="12">IF(ISNUMBER(BB16/BA16),BB16/BA16, " - ")</f>
        <v>1</v>
      </c>
      <c r="BF16" s="127">
        <f t="shared" ref="BF16" si="13">IF(ISNUMBER(BC16/BA16),BC16/BA16, " - ")</f>
        <v>0.15725806451612903</v>
      </c>
      <c r="BG16" s="195">
        <f t="shared" si="10"/>
        <v>2</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16</v>
      </c>
      <c r="J17" s="182">
        <v>6</v>
      </c>
      <c r="K17" s="182">
        <v>7</v>
      </c>
      <c r="L17" s="182">
        <v>15</v>
      </c>
      <c r="M17" s="182">
        <v>1</v>
      </c>
      <c r="N17" s="182">
        <v>9</v>
      </c>
      <c r="O17" s="182">
        <v>0</v>
      </c>
      <c r="P17" s="182">
        <v>0</v>
      </c>
      <c r="Q17" s="182">
        <v>0</v>
      </c>
      <c r="R17" s="182">
        <v>0</v>
      </c>
      <c r="S17" s="182">
        <v>11</v>
      </c>
      <c r="T17" s="182">
        <v>9</v>
      </c>
      <c r="U17" s="182">
        <v>9</v>
      </c>
      <c r="V17" s="182">
        <v>11</v>
      </c>
      <c r="W17" s="182">
        <v>5</v>
      </c>
      <c r="X17" s="188">
        <v>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11</v>
      </c>
      <c r="AZ17" s="129">
        <f t="shared" si="14"/>
        <v>9</v>
      </c>
      <c r="BA17" s="129">
        <f t="shared" si="14"/>
        <v>9</v>
      </c>
      <c r="BB17" s="129">
        <f t="shared" si="14"/>
        <v>11</v>
      </c>
      <c r="BC17" s="125">
        <f>IF(ISNUMBER(W17),W17," - ")</f>
        <v>5</v>
      </c>
      <c r="BD17" s="126">
        <f>IF(ISNUMBER(BA17/AZ17),BA17/AZ17," - ")</f>
        <v>1</v>
      </c>
      <c r="BE17" s="127">
        <f>IF(ISNUMBER(BB17/BA17),BB17/BA17, " - ")</f>
        <v>1.2222222222222223</v>
      </c>
      <c r="BF17" s="127">
        <f>IF(ISNUMBER(BC17/BA17),BC17/BA17, " - ")</f>
        <v>0.55555555555555558</v>
      </c>
      <c r="BG17" s="195">
        <f>IF(ISNUMBER((AY17+AZ17)/BA17),(AY17+AZ17)/BA17," - ")</f>
        <v>2.2222222222222223</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328</v>
      </c>
      <c r="J18" s="183">
        <f t="shared" si="15"/>
        <v>228</v>
      </c>
      <c r="K18" s="183">
        <f t="shared" si="15"/>
        <v>252</v>
      </c>
      <c r="L18" s="183">
        <f t="shared" si="15"/>
        <v>304</v>
      </c>
      <c r="M18" s="183">
        <f t="shared" si="15"/>
        <v>26</v>
      </c>
      <c r="N18" s="183">
        <f t="shared" si="15"/>
        <v>179</v>
      </c>
      <c r="O18" s="183">
        <f t="shared" si="15"/>
        <v>10</v>
      </c>
      <c r="P18" s="183">
        <f t="shared" si="15"/>
        <v>8</v>
      </c>
      <c r="Q18" s="183">
        <f t="shared" si="15"/>
        <v>10</v>
      </c>
      <c r="R18" s="183">
        <f t="shared" si="15"/>
        <v>67</v>
      </c>
      <c r="S18" s="183">
        <f t="shared" si="15"/>
        <v>273</v>
      </c>
      <c r="T18" s="183">
        <f t="shared" si="15"/>
        <v>243</v>
      </c>
      <c r="U18" s="183">
        <f t="shared" si="15"/>
        <v>257</v>
      </c>
      <c r="V18" s="183">
        <f t="shared" si="15"/>
        <v>259</v>
      </c>
      <c r="W18" s="183">
        <f t="shared" si="15"/>
        <v>44</v>
      </c>
      <c r="X18" s="183">
        <f t="shared" si="15"/>
        <v>187</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273</v>
      </c>
      <c r="AZ18" s="183">
        <f>SUBTOTAL(9,AZ14:AZ17)</f>
        <v>243</v>
      </c>
      <c r="BA18" s="183">
        <f>SUBTOTAL(9,BA14:BA17)</f>
        <v>257</v>
      </c>
      <c r="BB18" s="183">
        <f>SUBTOTAL(9,BB14:BB17)</f>
        <v>259</v>
      </c>
      <c r="BC18" s="183">
        <f>SUBTOTAL(9,BC14:BC17)</f>
        <v>44</v>
      </c>
      <c r="BD18" s="204">
        <f>IF(ISNUMBER(BA18/AZ18),BA18/AZ18," - ")</f>
        <v>1.0576131687242798</v>
      </c>
      <c r="BE18" s="205">
        <f>IF(ISNUMBER(BB18/BA18),BB18/BA18, " - ")</f>
        <v>1.0077821011673151</v>
      </c>
      <c r="BF18" s="205">
        <f>IF(ISNUMBER(BC18/BA18),BC18/BA18, " - ")</f>
        <v>0.17120622568093385</v>
      </c>
      <c r="BG18" s="206">
        <f>IF(ISNUMBER((AY18+AZ18)/BA18),(AY18+AZ18)/BA18," - ")</f>
        <v>2.0077821011673151</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758</v>
      </c>
      <c r="J19" s="134">
        <f t="shared" si="18"/>
        <v>418</v>
      </c>
      <c r="K19" s="134">
        <f t="shared" si="18"/>
        <v>413</v>
      </c>
      <c r="L19" s="134">
        <f t="shared" si="18"/>
        <v>763</v>
      </c>
      <c r="M19" s="134">
        <f t="shared" si="18"/>
        <v>73</v>
      </c>
      <c r="N19" s="134">
        <f t="shared" si="18"/>
        <v>264</v>
      </c>
      <c r="O19" s="134">
        <f t="shared" si="18"/>
        <v>110</v>
      </c>
      <c r="P19" s="134">
        <f t="shared" si="18"/>
        <v>50</v>
      </c>
      <c r="Q19" s="134">
        <f t="shared" si="18"/>
        <v>47</v>
      </c>
      <c r="R19" s="134">
        <f t="shared" si="18"/>
        <v>876</v>
      </c>
      <c r="S19" s="134">
        <f t="shared" si="18"/>
        <v>681</v>
      </c>
      <c r="T19" s="134">
        <f t="shared" si="18"/>
        <v>531</v>
      </c>
      <c r="U19" s="134">
        <f t="shared" si="18"/>
        <v>572</v>
      </c>
      <c r="V19" s="134">
        <f t="shared" si="18"/>
        <v>640</v>
      </c>
      <c r="W19" s="134">
        <f t="shared" si="18"/>
        <v>127</v>
      </c>
      <c r="X19" s="134">
        <f t="shared" si="18"/>
        <v>223</v>
      </c>
      <c r="Y19" s="134">
        <f t="shared" si="18"/>
        <v>39</v>
      </c>
      <c r="Z19" s="134">
        <f t="shared" si="18"/>
        <v>29</v>
      </c>
      <c r="AA19" s="134">
        <f t="shared" si="18"/>
        <v>40</v>
      </c>
      <c r="AB19" s="134">
        <f t="shared" si="18"/>
        <v>28</v>
      </c>
      <c r="AC19" s="134">
        <f t="shared" si="18"/>
        <v>0</v>
      </c>
      <c r="AD19" s="134">
        <f t="shared" si="18"/>
        <v>0</v>
      </c>
      <c r="AE19" s="134">
        <f t="shared" si="18"/>
        <v>0</v>
      </c>
      <c r="AF19" s="134">
        <f t="shared" si="18"/>
        <v>0</v>
      </c>
      <c r="AG19" s="134">
        <f t="shared" si="18"/>
        <v>8</v>
      </c>
      <c r="AH19" s="134">
        <f t="shared" si="18"/>
        <v>9</v>
      </c>
      <c r="AI19" s="134">
        <f t="shared" si="18"/>
        <v>7</v>
      </c>
      <c r="AJ19" s="134">
        <f t="shared" si="18"/>
        <v>10</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689</v>
      </c>
      <c r="AZ19" s="134">
        <f>SUBTOTAL(9,AZ9:AZ18)</f>
        <v>540</v>
      </c>
      <c r="BA19" s="134">
        <f>SUBTOTAL(9,BA9:BA18)</f>
        <v>579</v>
      </c>
      <c r="BB19" s="134">
        <f>SUBTOTAL(9,BB9:BB18)</f>
        <v>650</v>
      </c>
      <c r="BC19" s="135">
        <f>SUBTOTAL(9,BC9:BC18)</f>
        <v>81</v>
      </c>
      <c r="BD19" s="212">
        <f>IF(ISNUMBER(BA19/AZ19),BA19/AZ19," - ")</f>
        <v>1.0722222222222222</v>
      </c>
      <c r="BE19" s="209">
        <f>IF(ISNUMBER(BB19/BA19),BB19/BA19, " - ")</f>
        <v>1.1226252158894645</v>
      </c>
      <c r="BF19" s="209">
        <f>IF(ISNUMBER(BC19/BA19),BC19/BA19, " - ")</f>
        <v>0.13989637305699482</v>
      </c>
      <c r="BG19" s="135">
        <f>IF(ISNUMBER((AY19+AZ19)/BA19),(AY19+AZ19)/BA19," - ")</f>
        <v>2.1226252158894647</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bSTQuYyBrbYxbmKHXmSVshirt41Y1ff7o6NnKunbPSOAsi8Ka1mcJvojEJZqFcNgnl7PwjLfCQa1IiNBpJEgg==" saltValue="zHP7K//i2HJM5gZqH60QU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CspHnc0lQs5ruLHJh665xNmIJ0UsSpW3SQYyG/b5lF/pF0nRdeMuDN3/WNnTSKpJ/Yy7QE+Iy6qwYp7UpBj7g==" saltValue="QzFIGbBzJajnfX9YOslq3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LLANES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v>
      </c>
      <c r="G10" s="332">
        <f>IF(ISNUMBER(Datos!I10),Datos!I10," - ")</f>
        <v>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v>
      </c>
      <c r="AC10" s="225">
        <f>IF(ISNUMBER(Datos!Q10),Datos!Q10," - ")</f>
        <v>0</v>
      </c>
      <c r="AD10" s="333"/>
      <c r="AE10" s="483"/>
      <c r="AF10" s="331">
        <f>IF(ISNUMBER(Datos!L10),Datos!L10,"-")</f>
        <v>1</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v>
      </c>
      <c r="BD10" s="228">
        <f>IF(ISNUMBER(Datos!N10),Datos!N10," - ")</f>
        <v>0</v>
      </c>
      <c r="BE10" s="228" t="str">
        <f>IF(ISNUMBER(Datos!BW10),Datos!BW10," - ")</f>
        <v xml:space="preserve"> - </v>
      </c>
      <c r="BF10" s="227" t="str">
        <f>IF(ISNUMBER(Datos!BX10),Datos!BX10," - ")</f>
        <v xml:space="preserve"> - </v>
      </c>
      <c r="BG10" s="242">
        <f>IF(ISNUMBER(Datos!K10/Datos!J10),Datos!K10/Datos!J10," - ")</f>
        <v>1</v>
      </c>
      <c r="BH10" s="259">
        <f>IF(ISNUMBER(((Datos!L10/Datos!K10)*11)/factor_trimestre),((Datos!L10/Datos!K10)*11)/factor_trimestre," - ")</f>
        <v>3</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29</v>
      </c>
      <c r="O12" s="333"/>
      <c r="P12" s="333"/>
      <c r="Q12" s="225">
        <f>IF(ISNUMBER(Datos!P12),Datos!P12,0)</f>
        <v>42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37</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28</v>
      </c>
      <c r="AI12" s="333" t="str">
        <f>IF(ISNUMBER(Datos!CD12),Datos!CD12,"-")</f>
        <v>-</v>
      </c>
      <c r="AJ12" s="333" t="str">
        <f>IF(ISNUMBER(Datos!EN12),Datos!EN12," - ")</f>
        <v xml:space="preserve"> - </v>
      </c>
      <c r="AK12" s="333"/>
      <c r="AL12" s="478"/>
      <c r="AM12" s="334">
        <f>IF(ISNUMBER(Datos!R12),Datos!R12," - ")</f>
        <v>809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46</v>
      </c>
      <c r="BD12" s="228">
        <f>IF(ISNUMBER(Datos!N12),Datos!N12," - ")</f>
        <v>85</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0.91743119266055051</v>
      </c>
      <c r="BH12" s="259">
        <f>IF(ISNUMBER(((IF(J_V="SI",Datos!L12/Datos!K12,(Datos!L12+Datos!AB12)/(Datos!K12+Datos!AA12)))*11)/factor_trimestre),((IF(J_V="SI",Datos!L12/Datos!K12,(Datos!L12+Datos!AB12)/(Datos!K12+Datos!AA12)))*11)/factor_trimestre," - ")</f>
        <v>7.29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6.2189054726368162E-3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v>
      </c>
      <c r="F13" s="897">
        <f t="shared" si="0"/>
        <v>1</v>
      </c>
      <c r="G13" s="897">
        <f t="shared" si="0"/>
        <v>1</v>
      </c>
      <c r="H13" s="898">
        <f t="shared" si="0"/>
        <v>0</v>
      </c>
      <c r="I13" s="897">
        <f t="shared" si="0"/>
        <v>0</v>
      </c>
      <c r="J13" s="866">
        <f t="shared" si="0"/>
        <v>0</v>
      </c>
      <c r="K13" s="866">
        <f t="shared" si="0"/>
        <v>0</v>
      </c>
      <c r="L13" s="898">
        <f t="shared" si="0"/>
        <v>0</v>
      </c>
      <c r="M13" s="898">
        <f t="shared" si="0"/>
        <v>0</v>
      </c>
      <c r="N13" s="898">
        <f t="shared" si="0"/>
        <v>29</v>
      </c>
      <c r="O13" s="899">
        <f t="shared" si="0"/>
        <v>0</v>
      </c>
      <c r="P13" s="899">
        <f t="shared" si="0"/>
        <v>0</v>
      </c>
      <c r="Q13" s="898">
        <f t="shared" si="0"/>
        <v>42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v>
      </c>
      <c r="AC13" s="898">
        <f t="shared" si="1"/>
        <v>37</v>
      </c>
      <c r="AD13" s="898">
        <f t="shared" si="1"/>
        <v>0</v>
      </c>
      <c r="AE13" s="898">
        <f t="shared" si="1"/>
        <v>0</v>
      </c>
      <c r="AF13" s="898">
        <f t="shared" si="1"/>
        <v>1</v>
      </c>
      <c r="AG13" s="898">
        <f t="shared" si="1"/>
        <v>0</v>
      </c>
      <c r="AH13" s="898">
        <f t="shared" si="1"/>
        <v>28</v>
      </c>
      <c r="AI13" s="898">
        <f t="shared" si="1"/>
        <v>0</v>
      </c>
      <c r="AJ13" s="898">
        <f t="shared" si="1"/>
        <v>0</v>
      </c>
      <c r="AK13" s="898">
        <f t="shared" si="1"/>
        <v>0</v>
      </c>
      <c r="AL13" s="898">
        <f t="shared" si="1"/>
        <v>0</v>
      </c>
      <c r="AM13" s="898">
        <f t="shared" si="1"/>
        <v>809</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47</v>
      </c>
      <c r="BD13" s="898">
        <f t="shared" si="1"/>
        <v>85</v>
      </c>
      <c r="BE13" s="898">
        <f t="shared" si="1"/>
        <v>0</v>
      </c>
      <c r="BF13" s="898">
        <f t="shared" si="1"/>
        <v>0</v>
      </c>
      <c r="BG13" s="898">
        <f>IF(ISNUMBER(Datos!K13/Datos!J13),Datos!K13/Datos!J13," - ")</f>
        <v>0.84736842105263155</v>
      </c>
      <c r="BH13" s="902">
        <f>IF(ISNUMBER(((Datos!L13/Datos!K13)*11)/factor_trimestre),((Datos!L13/Datos!K13)*11)/factor_trimestre," - ")</f>
        <v>8.5527950310559007</v>
      </c>
      <c r="BI13" s="898">
        <f>IF(ISNUMBER('Resol  Asuntos'!D13/NºAsuntos!G13),'Resol  Asuntos'!D13/NºAsuntos!G13," - ")</f>
        <v>0.23383084577114427</v>
      </c>
      <c r="BJ13" s="898" t="str">
        <f>IF(ISNUMBER(Datos!CI13/Datos!CJ13),Datos!CI13/Datos!CJ13," - ")</f>
        <v xml:space="preserve"> - </v>
      </c>
      <c r="BK13" s="898">
        <f>SUBTOTAL(9,BK8:BK12)</f>
        <v>0</v>
      </c>
      <c r="BL13" s="898">
        <f>IF(ISNUMBER((I13-AB13+L13)/(F13)),(I13-AB13+L13)/(F13)," - ")</f>
        <v>-1</v>
      </c>
      <c r="BM13" s="903">
        <f>SUBTOTAL(9,BM9:BM12)</f>
        <v>6.2189054726368162E-3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312</v>
      </c>
      <c r="G16" s="597">
        <f>IF(ISNUMBER(IF(D_I="SI",Datos!I16,Datos!I16+Datos!AC16)),IF(D_I="SI",Datos!I16,Datos!I16+Datos!AC16)," - ")</f>
        <v>312</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8</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245</v>
      </c>
      <c r="AC16" s="225">
        <f>IF(ISNUMBER(Datos!Q16),Datos!Q16," - ")</f>
        <v>10</v>
      </c>
      <c r="AD16" s="333"/>
      <c r="AE16" s="483"/>
      <c r="AF16" s="595">
        <f>IF(ISNUMBER(IF(D_I="SI",Datos!L16,Datos!L16+Datos!AF16)),IF(D_I="SI",Datos!L16,Datos!L16+Datos!AF16)," - ")</f>
        <v>289</v>
      </c>
      <c r="AG16" s="333"/>
      <c r="AH16" s="333"/>
      <c r="AI16" s="333"/>
      <c r="AJ16" s="333"/>
      <c r="AK16" s="333"/>
      <c r="AL16" s="478"/>
      <c r="AM16" s="334">
        <f>IF(ISNUMBER(Datos!R16),Datos!R16," - ")</f>
        <v>67</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25</v>
      </c>
      <c r="BD16" s="228">
        <f>IF(ISNUMBER(Datos!N16),Datos!N16," - ")</f>
        <v>170</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1.1036036036036037</v>
      </c>
      <c r="BH16" s="259">
        <f>IF(ISNUMBER(((IF(D_I="SI",Datos!L16/Datos!K16,(Datos!L16+Datos!AF16)/(Datos!K16+Datos!AE16)))*11)/factor_trimestre),((IF(D_I="SI",Datos!L16/Datos!K16,(Datos!L16+Datos!AF16)/(Datos!K16+Datos!AE16)))*11)/factor_trimestre," - ")</f>
        <v>3.5387755102040814</v>
      </c>
      <c r="BI16" s="242">
        <f>IF(ISNUMBER('Resol  Asuntos'!D16/NºAsuntos!G16),'Resol  Asuntos'!D16/NºAsuntos!G16," - ")</f>
        <v>0.10204081632653061</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7</v>
      </c>
      <c r="AC17" s="225">
        <f>IF(ISNUMBER(Datos!Q17),Datos!Q17," - ")</f>
        <v>0</v>
      </c>
      <c r="AD17" s="333"/>
      <c r="AE17" s="483"/>
      <c r="AF17" s="331">
        <f>IF(ISNUMBER(Datos!L17),Datos!L17,"-")</f>
        <v>15</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v>
      </c>
      <c r="BD17" s="228">
        <f>IF(ISNUMBER(Datos!N17),Datos!N17," - ")</f>
        <v>9</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1.1666666666666667</v>
      </c>
      <c r="BH17" s="259">
        <f>IF(ISNUMBER(((IF(D_I="SI",Datos!L17/Datos!K17,(Datos!L17+Datos!AF17)/(Datos!K17+Datos!AE17)))*11)/factor_trimestre),((IF(D_I="SI",Datos!L17/Datos!K17,(Datos!L17+Datos!AF17)/(Datos!K17+Datos!AE17)))*11)/factor_trimestre," - ")</f>
        <v>6.4285714285714279</v>
      </c>
      <c r="BI17" s="242">
        <f>IF(ISNUMBER('Resol  Asuntos'!D17/NºAsuntos!G17),'Resol  Asuntos'!D17/NºAsuntos!G17," - ")</f>
        <v>0.14285714285714285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1</v>
      </c>
      <c r="F18" s="897">
        <f>SUBTOTAL(9,F15:F17)</f>
        <v>312</v>
      </c>
      <c r="G18" s="897">
        <f>SUBTOTAL(9,G15:G17)</f>
        <v>328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8</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252</v>
      </c>
      <c r="AC18" s="898">
        <f t="shared" si="4"/>
        <v>10</v>
      </c>
      <c r="AD18" s="898">
        <f t="shared" si="4"/>
        <v>0</v>
      </c>
      <c r="AE18" s="898">
        <f t="shared" si="4"/>
        <v>0</v>
      </c>
      <c r="AF18" s="898">
        <f t="shared" si="4"/>
        <v>304</v>
      </c>
      <c r="AG18" s="898">
        <f t="shared" si="4"/>
        <v>0</v>
      </c>
      <c r="AH18" s="898">
        <f t="shared" si="4"/>
        <v>0</v>
      </c>
      <c r="AI18" s="898">
        <f t="shared" si="4"/>
        <v>0</v>
      </c>
      <c r="AJ18" s="898">
        <f t="shared" si="4"/>
        <v>0</v>
      </c>
      <c r="AK18" s="898">
        <f t="shared" si="4"/>
        <v>0</v>
      </c>
      <c r="AL18" s="898">
        <f t="shared" si="4"/>
        <v>0</v>
      </c>
      <c r="AM18" s="898">
        <f t="shared" si="4"/>
        <v>67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26</v>
      </c>
      <c r="BD18" s="898">
        <f t="shared" si="4"/>
        <v>179</v>
      </c>
      <c r="BE18" s="898">
        <f t="shared" si="4"/>
        <v>0</v>
      </c>
      <c r="BF18" s="898">
        <f t="shared" si="4"/>
        <v>0</v>
      </c>
      <c r="BG18" s="898">
        <f>IF(ISNUMBER(Datos!K18/Datos!J18),Datos!K18/Datos!J18," - ")</f>
        <v>1.1052631578947369</v>
      </c>
      <c r="BH18" s="902">
        <f>IF(ISNUMBER(((Datos!L18/Datos!K18)*11)/factor_trimestre),((Datos!L18/Datos!K18)*11)/factor_trimestre," - ")</f>
        <v>3.6190476190476191</v>
      </c>
      <c r="BI18" s="898">
        <f>SUBTOTAL(9,BI15:BI17)</f>
        <v>0.24489795918367346</v>
      </c>
      <c r="BJ18" s="898">
        <f>SUBTOTAL(9,BJ15:BJ17)</f>
        <v>0</v>
      </c>
      <c r="BK18" s="898">
        <f>SUBTOTAL(9,BK15:BK17)</f>
        <v>0</v>
      </c>
      <c r="BL18" s="898">
        <f>IF(ISNUMBER((I18-AB18+L18)/(F18)),(I18-AB18+L18)/(F18)," - ")</f>
        <v>-0.80769230769230771</v>
      </c>
      <c r="BM18" s="904">
        <f>IF(ISNUMBER((Datos!P18-Datos!Q18)/(Datos!R18-Datos!P18+Datos!Q18)),(Datos!P18-Datos!Q18)/(Datos!R18-Datos!P18+Datos!Q18)," - ")</f>
        <v>-2.8985507246376812E-2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2</v>
      </c>
      <c r="F19" s="819">
        <f t="shared" si="6"/>
        <v>313</v>
      </c>
      <c r="G19" s="819">
        <f t="shared" si="6"/>
        <v>329</v>
      </c>
      <c r="H19" s="821">
        <f t="shared" si="6"/>
        <v>0</v>
      </c>
      <c r="I19" s="819">
        <f t="shared" si="6"/>
        <v>0</v>
      </c>
      <c r="J19" s="821">
        <f t="shared" si="6"/>
        <v>0</v>
      </c>
      <c r="K19" s="821">
        <f t="shared" si="6"/>
        <v>0</v>
      </c>
      <c r="L19" s="880">
        <f t="shared" si="6"/>
        <v>0</v>
      </c>
      <c r="M19" s="880">
        <f t="shared" si="6"/>
        <v>0</v>
      </c>
      <c r="N19" s="880">
        <f t="shared" si="6"/>
        <v>29</v>
      </c>
      <c r="O19" s="880">
        <f t="shared" si="6"/>
        <v>0</v>
      </c>
      <c r="P19" s="880">
        <f t="shared" si="6"/>
        <v>0</v>
      </c>
      <c r="Q19" s="821">
        <f t="shared" si="6"/>
        <v>50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253</v>
      </c>
      <c r="AC19" s="820">
        <f t="shared" si="7"/>
        <v>47</v>
      </c>
      <c r="AD19" s="820">
        <f t="shared" si="7"/>
        <v>0</v>
      </c>
      <c r="AE19" s="820">
        <f t="shared" si="7"/>
        <v>0</v>
      </c>
      <c r="AF19" s="827">
        <f t="shared" si="7"/>
        <v>305</v>
      </c>
      <c r="AG19" s="827">
        <f t="shared" si="7"/>
        <v>0</v>
      </c>
      <c r="AH19" s="827">
        <f t="shared" si="7"/>
        <v>28</v>
      </c>
      <c r="AI19" s="827">
        <f t="shared" si="7"/>
        <v>0</v>
      </c>
      <c r="AJ19" s="820">
        <f t="shared" si="7"/>
        <v>0</v>
      </c>
      <c r="AK19" s="827">
        <f t="shared" si="7"/>
        <v>0</v>
      </c>
      <c r="AL19" s="827">
        <f t="shared" si="7"/>
        <v>0</v>
      </c>
      <c r="AM19" s="827">
        <f t="shared" si="7"/>
        <v>876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73</v>
      </c>
      <c r="BD19" s="819">
        <f t="shared" si="7"/>
        <v>264</v>
      </c>
      <c r="BE19" s="819">
        <f t="shared" si="7"/>
        <v>0</v>
      </c>
      <c r="BF19" s="829">
        <f t="shared" si="7"/>
        <v>0</v>
      </c>
      <c r="BG19" s="914">
        <f>IF(ISNUMBER(Datos!K19/Datos!J19),Datos!K19/Datos!J19," - ")</f>
        <v>0.98803827751196172</v>
      </c>
      <c r="BH19" s="914">
        <f>IF(ISNUMBER(((Datos!L19/Datos!K19)*11)/factor_trimestre),((Datos!L19/Datos!K19)*11)/factor_trimestre," - ")</f>
        <v>5.5423728813559316</v>
      </c>
      <c r="BI19" s="812">
        <f>IF(ISNUMBER(Datos!J19/Datos!I19),Datos!J19/Datos!I19," - ")</f>
        <v>0.55145118733509235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-0.80830670926517567</v>
      </c>
      <c r="BM19" s="888">
        <f>IF(ISNUMBER((Datos!P19-Datos!Q19+R19)/(Datos!R19-Datos!P19+Datos!Q19-R19)),(Datos!P19-Datos!Q19+R19)/(Datos!R19-Datos!P19+Datos!Q19-R19)," - ")</f>
        <v>3.4364261168384879E-3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131.6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179.5559337179736</v>
      </c>
      <c r="G21" s="551">
        <f>IF(ISNUMBER(STDEV(G8:G18)),STDEV(G8:G18),"-")</f>
        <v>172.18681714928121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134.51096609570538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20.37318499073394</v>
      </c>
      <c r="BD21" s="550"/>
      <c r="BE21" s="550">
        <f>IF(ISNUMBER(STDEV(BE8:BE18)),STDEV(BE8:BE18),"-")</f>
        <v>0</v>
      </c>
      <c r="BF21" s="555">
        <f>IF(ISNUMBER(STDEV(BF8:BF18)),STDEV(BF8:BF18),"-")</f>
        <v>0</v>
      </c>
      <c r="BG21" s="774">
        <f>IF(ISNUMBER(STDEV(BG8:BG18)),STDEV(BG8:BG18),"-")</f>
        <v>0.1236313848484256</v>
      </c>
      <c r="BH21" s="775">
        <f>IF(ISNUMBER(STDEV(BH8:BH18)),STDEV(BH8:BH18),"-")</f>
        <v>2.3223256305182729</v>
      </c>
      <c r="BI21" s="248">
        <f>IF(ISNUMBER(STDEV(BI8:BI18)),STDEV(BI8:BI18),"-")</f>
        <v>6.9674105337831721E-2</v>
      </c>
      <c r="BJ21" s="229" t="str">
        <f>IF(ISNUMBER(BL21/BM21),BL21/BM21," - ")</f>
        <v xml:space="preserve"> - </v>
      </c>
      <c r="BK21" s="574"/>
      <c r="BL21" s="558">
        <f>IF(ISNUMBER(STDEV(BL8:BL18)),STDEV(BL8:BL18),"-")</f>
        <v>0.13598207330510576</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HQlBy5H6/gQHbFHYs2vA+KMs/uIdsOQNlA/lYM6h3S7rSGJ2gvmC20drG2pTUV0oWhWG9z4QS9oS2F3HOaoDqw==" saltValue="+vqQFRaa1YwTsMN3bczC2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ASTURIAS</v>
      </c>
    </row>
    <row r="2" spans="1:78" ht="16.5" customHeight="1">
      <c r="C2" s="527" t="str">
        <f>Criterios!A10 &amp;"  "&amp;Criterios!B10 &amp; "  " &amp; IF(NOT(ISBLANK(Criterios!A11)),Criterios!A11 &amp;"  "&amp;Criterios!B11,"")</f>
        <v>Provincias  ASTURIAS  Resumenes por Partidos Judiciales  LLANES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v>
      </c>
      <c r="G10" s="224">
        <f>IF(ISNUMBER(Datos!I10),Datos!I10," - ")</f>
        <v>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v>
      </c>
      <c r="Z10" s="618">
        <f>IF(ISNUMBER(Datos!Q10),Datos!Q10," - ")</f>
        <v>0</v>
      </c>
      <c r="AA10" s="331">
        <f>IF(ISNUMBER(Datos!L10),Datos!L10,"-")</f>
        <v>1</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1</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37</v>
      </c>
      <c r="AA12" s="331" t="str">
        <f>IF(ISNUMBER(IF(J_V="SI",Datos!L12,Datos!L12+Datos!AB12)-IF(Monitorios="SI",Datos!CD12,0)),
                          IF(J_V="SI",Datos!L12,Datos!L12+Datos!AB12)-IF(Monitorios="SI",Datos!CD12,0),
                          " - ")</f>
        <v xml:space="preserve"> - </v>
      </c>
      <c r="AB12" s="333"/>
      <c r="AC12" s="333"/>
      <c r="AD12" s="483"/>
      <c r="AE12" s="483">
        <f>IF(ISNUMBER(Datos!R12),Datos!R12," - ")</f>
        <v>809</v>
      </c>
      <c r="AF12" s="228" t="str">
        <f>IF(ISNUMBER(Datos!BV12),Datos!BV12," - ")</f>
        <v xml:space="preserve"> - </v>
      </c>
      <c r="AG12" s="224" t="str">
        <f>IF(ISNUMBER(Datos!DV12),Datos!DV12," - ")</f>
        <v xml:space="preserve"> - </v>
      </c>
      <c r="AH12" s="297"/>
      <c r="AI12" s="226"/>
      <c r="AJ12" s="224">
        <f>IF(ISNUMBER(Datos!M12),Datos!M12," - ")</f>
        <v>46</v>
      </c>
      <c r="AK12" s="228">
        <f>IF(ISNUMBER(Datos!N12),Datos!N12," - ")</f>
        <v>85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7.29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6.2189054726368162E-3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v>
      </c>
      <c r="F13" s="897">
        <f>SUBTOTAL(9,F8:F12)</f>
        <v>1</v>
      </c>
      <c r="G13" s="897">
        <f>SUBTOTAL(9,G8:G12)</f>
        <v>1</v>
      </c>
      <c r="H13" s="907"/>
      <c r="I13" s="897">
        <f t="shared" ref="I13:N13" si="0">SUBTOTAL(9,I8:I12)</f>
        <v>0</v>
      </c>
      <c r="J13" s="866">
        <f t="shared" si="0"/>
        <v>0</v>
      </c>
      <c r="K13" s="907">
        <f t="shared" si="0"/>
        <v>0</v>
      </c>
      <c r="L13" s="907">
        <f t="shared" si="0"/>
        <v>0</v>
      </c>
      <c r="M13" s="907">
        <f t="shared" si="0"/>
        <v>0</v>
      </c>
      <c r="N13" s="907">
        <f t="shared" si="0"/>
        <v>42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v>
      </c>
      <c r="Z13" s="906">
        <f t="shared" si="2"/>
        <v>37</v>
      </c>
      <c r="AA13" s="899">
        <f t="shared" si="2"/>
        <v>1</v>
      </c>
      <c r="AB13" s="899">
        <f t="shared" si="2"/>
        <v>0</v>
      </c>
      <c r="AC13" s="899">
        <f t="shared" si="2"/>
        <v>0</v>
      </c>
      <c r="AD13" s="899">
        <f t="shared" si="2"/>
        <v>0</v>
      </c>
      <c r="AE13" s="899">
        <f t="shared" si="2"/>
        <v>809</v>
      </c>
      <c r="AF13" s="907">
        <f t="shared" si="2"/>
        <v>0</v>
      </c>
      <c r="AG13" s="907">
        <f t="shared" si="2"/>
        <v>0</v>
      </c>
      <c r="AH13" s="907">
        <f t="shared" si="2"/>
        <v>0</v>
      </c>
      <c r="AI13" s="907">
        <f t="shared" si="2"/>
        <v>0</v>
      </c>
      <c r="AJ13" s="907">
        <f t="shared" si="2"/>
        <v>47</v>
      </c>
      <c r="AK13" s="907">
        <f t="shared" si="2"/>
        <v>85</v>
      </c>
      <c r="AL13" s="907">
        <f t="shared" si="2"/>
        <v>0</v>
      </c>
      <c r="AM13" s="907">
        <f t="shared" si="2"/>
        <v>0</v>
      </c>
      <c r="AN13" s="907">
        <f t="shared" si="2"/>
        <v>0</v>
      </c>
      <c r="AO13" s="903">
        <f>IF(ISNUMBER(((NºAsuntos!I13/NºAsuntos!G13)*11)/factor_trimestre),((NºAsuntos!I13/NºAsuntos!G13)*11)/factor_trimestre," - ")</f>
        <v>7.2686567164179108</v>
      </c>
      <c r="AP13" s="909" t="str">
        <f>IF(ISNUMBER(Datos!CI13/Datos!CJ13),Datos!CI13/Datos!CJ13," - ")</f>
        <v xml:space="preserve"> - </v>
      </c>
      <c r="AQ13" s="927">
        <f t="shared" ref="AQ13:AV13" si="3">SUBTOTAL(9,AQ9:AQ12)</f>
        <v>0</v>
      </c>
      <c r="AR13" s="927">
        <f t="shared" si="3"/>
        <v>6.2189054726368162E-3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312</v>
      </c>
      <c r="G16" s="224">
        <f>IF(ISNUMBER(IF(D_I="SI",Datos!I16,Datos!I16+Datos!AC16)),IF(D_I="SI",Datos!I16,Datos!I16+Datos!AC16)," - ")</f>
        <v>312</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8</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245</v>
      </c>
      <c r="Z16" s="618">
        <f>IF(ISNUMBER(Datos!Q16),Datos!Q16," - ")</f>
        <v>10</v>
      </c>
      <c r="AA16" s="331">
        <f>IF(ISNUMBER(IF(D_I="SI",Datos!L16,Datos!L16+Datos!AF16)),IF(D_I="SI",Datos!L16,Datos!L16+Datos!AF16)," - ")</f>
        <v>289</v>
      </c>
      <c r="AB16" s="333"/>
      <c r="AC16" s="333"/>
      <c r="AD16" s="483"/>
      <c r="AE16" s="483">
        <f>IF(ISNUMBER(Datos!R16),Datos!R16," - ")</f>
        <v>67</v>
      </c>
      <c r="AF16" s="228" t="str">
        <f>IF(ISNUMBER(Datos!BV16),Datos!BV16," - ")</f>
        <v xml:space="preserve"> - </v>
      </c>
      <c r="AG16" s="224"/>
      <c r="AH16" s="297"/>
      <c r="AI16" s="226"/>
      <c r="AJ16" s="224">
        <f>IF(ISNUMBER(Datos!M16),Datos!M16," - ")</f>
        <v>25</v>
      </c>
      <c r="AK16" s="228">
        <f>IF(ISNUMBER(Datos!N16),Datos!N16," - ")</f>
        <v>170</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3.5387755102040814</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7</v>
      </c>
      <c r="Z17" s="618">
        <f>IF(ISNUMBER(Datos!Q17),Datos!Q17," - ")</f>
        <v>0</v>
      </c>
      <c r="AA17" s="331">
        <f>IF(ISNUMBER(Datos!L17),Datos!L17,"-")</f>
        <v>15</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v>
      </c>
      <c r="AK17" s="228">
        <f>IF(ISNUMBER(Datos!N17),Datos!N17," - ")</f>
        <v>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6.4285714285714279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1</v>
      </c>
      <c r="F18" s="897">
        <f>SUBTOTAL(9,F15:F17)</f>
        <v>312</v>
      </c>
      <c r="G18" s="897">
        <f>SUBTOTAL(9,G15:G17)</f>
        <v>328</v>
      </c>
      <c r="H18" s="931">
        <f>SUBTOTAL(9,H15:H17)</f>
        <v>0</v>
      </c>
      <c r="I18" s="910">
        <f>SUBTOTAL(9,I15:I17)</f>
        <v>0</v>
      </c>
      <c r="J18" s="866">
        <f>SUBTOTAL(9,J14:J17)</f>
        <v>0</v>
      </c>
      <c r="K18" s="931">
        <f t="shared" ref="K18:S18" si="4">SUBTOTAL(9,K15:K17)</f>
        <v>0</v>
      </c>
      <c r="L18" s="931">
        <f t="shared" si="4"/>
        <v>0</v>
      </c>
      <c r="M18" s="931">
        <f t="shared" si="4"/>
        <v>0</v>
      </c>
      <c r="N18" s="931">
        <f t="shared" si="4"/>
        <v>8</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252</v>
      </c>
      <c r="Z18" s="931">
        <f t="shared" si="5"/>
        <v>10</v>
      </c>
      <c r="AA18" s="931">
        <f t="shared" si="5"/>
        <v>304</v>
      </c>
      <c r="AB18" s="931">
        <f t="shared" si="5"/>
        <v>0</v>
      </c>
      <c r="AC18" s="931">
        <f t="shared" si="5"/>
        <v>0</v>
      </c>
      <c r="AD18" s="931">
        <f t="shared" si="5"/>
        <v>0</v>
      </c>
      <c r="AE18" s="931">
        <f t="shared" si="5"/>
        <v>67</v>
      </c>
      <c r="AF18" s="931">
        <f t="shared" si="5"/>
        <v>0</v>
      </c>
      <c r="AG18" s="931">
        <f t="shared" si="5"/>
        <v>0</v>
      </c>
      <c r="AH18" s="931">
        <f t="shared" si="5"/>
        <v>0</v>
      </c>
      <c r="AI18" s="931">
        <f t="shared" si="5"/>
        <v>0</v>
      </c>
      <c r="AJ18" s="931">
        <f t="shared" si="5"/>
        <v>26</v>
      </c>
      <c r="AK18" s="931">
        <f t="shared" si="5"/>
        <v>179</v>
      </c>
      <c r="AL18" s="931">
        <f t="shared" si="5"/>
        <v>0</v>
      </c>
      <c r="AM18" s="931">
        <f t="shared" si="5"/>
        <v>0</v>
      </c>
      <c r="AN18" s="931">
        <f t="shared" si="5"/>
        <v>0</v>
      </c>
      <c r="AO18" s="933">
        <f>IF(ISNUMBER(((NºAsuntos!I18/NºAsuntos!G18)*11)/factor_trimestre),((NºAsuntos!I18/NºAsuntos!G18)*11)/factor_trimestre," - ")</f>
        <v>3.6190476190476191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313</v>
      </c>
      <c r="G19" s="819">
        <f t="shared" si="7"/>
        <v>329</v>
      </c>
      <c r="H19" s="820">
        <f t="shared" si="7"/>
        <v>0</v>
      </c>
      <c r="I19" s="819">
        <f t="shared" si="7"/>
        <v>0</v>
      </c>
      <c r="J19" s="821">
        <f t="shared" si="7"/>
        <v>0</v>
      </c>
      <c r="K19" s="819">
        <f t="shared" si="7"/>
        <v>0</v>
      </c>
      <c r="L19" s="822">
        <f t="shared" si="7"/>
        <v>0</v>
      </c>
      <c r="M19" s="819">
        <f t="shared" si="7"/>
        <v>0</v>
      </c>
      <c r="N19" s="820">
        <f t="shared" si="7"/>
        <v>50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253</v>
      </c>
      <c r="Z19" s="826">
        <f t="shared" si="8"/>
        <v>47</v>
      </c>
      <c r="AA19" s="827">
        <f t="shared" si="8"/>
        <v>305</v>
      </c>
      <c r="AB19" s="827">
        <f t="shared" si="8"/>
        <v>0</v>
      </c>
      <c r="AC19" s="827">
        <f t="shared" si="8"/>
        <v>0</v>
      </c>
      <c r="AD19" s="828">
        <f t="shared" si="8"/>
        <v>0</v>
      </c>
      <c r="AE19" s="828">
        <f t="shared" si="8"/>
        <v>876</v>
      </c>
      <c r="AF19" s="829">
        <f t="shared" si="8"/>
        <v>0</v>
      </c>
      <c r="AG19" s="830">
        <f t="shared" si="8"/>
        <v>0</v>
      </c>
      <c r="AH19" s="831">
        <f t="shared" si="8"/>
        <v>0</v>
      </c>
      <c r="AI19" s="829">
        <f t="shared" si="8"/>
        <v>0</v>
      </c>
      <c r="AJ19" s="819">
        <f t="shared" si="8"/>
        <v>73</v>
      </c>
      <c r="AK19" s="819">
        <f t="shared" si="8"/>
        <v>264</v>
      </c>
      <c r="AL19" s="819">
        <f t="shared" si="8"/>
        <v>0</v>
      </c>
      <c r="AM19" s="832">
        <f t="shared" si="8"/>
        <v>0</v>
      </c>
      <c r="AN19" s="822">
        <f>IF(ISNUMBER(Datos!K19/Datos!J19),Datos!K19/Datos!J19," - ")</f>
        <v>0.98803827751196172</v>
      </c>
      <c r="AO19" s="822">
        <f>IF(ISNUMBER(FIND("06",Criterios!A8,1)),(IF(ISNUMBER(((Datos!R19/Datos!Q19)*11)/factor_trimestre),((Datos!R19/Datos!Q19)*11)/factor_trimestre," - ")),(IF(ISNUMBER(((Datos!L19/Datos!K19)*11)/factor_trimestre),((Datos!L19/Datos!K19)*11)/factor_trimestre," - ")))</f>
        <v>5.5423728813559316</v>
      </c>
      <c r="AP19" s="833" t="str">
        <f>IF(ISNUMBER(Datos!CI19/Datos!CJ19),Datos!CI19/Datos!CJ19," - ")</f>
        <v xml:space="preserve"> - </v>
      </c>
      <c r="AQ19" s="833">
        <f>IF(OR(ISNUMBER(FIND("01",Criterios!A8,1)),ISNUMBER(FIND("02",Criterios!A8,1)),ISNUMBER(FIND("03",Criterios!A8,1)),ISNUMBER(FIND("04",Criterios!A8,1))),(J19-Y19+K19)/(F19-K19),(I19-Y19+K19)/(F19-K19))</f>
        <v>-0.80830670926517567</v>
      </c>
      <c r="AR19" s="833">
        <f>IF(ISNUMBER((Datos!P19-Datos!Q19+O19)/(Datos!R19-Datos!P19+Datos!Q19-O19)),(Datos!P19-Datos!Q19+O19)/(Datos!R19-Datos!P19+Datos!Q19-O19)," - ")</f>
        <v>3.4364261168384879E-3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131.6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179.5559337179736</v>
      </c>
      <c r="G21" s="551">
        <f>IF(ISNUMBER(STDEV(G8:G18)),STDEV(G8:G18),"-")</f>
        <v>172.18681714928121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20.37318499073394</v>
      </c>
      <c r="AK21" s="251"/>
      <c r="AL21" s="251">
        <f>IF(ISNUMBER(STDEV(AL8:AL18)),STDEV(AL8:AL18),"-")</f>
        <v>0</v>
      </c>
      <c r="AM21" s="253">
        <f>IF(ISNUMBER(STDEV(AM8:AM18)),STDEV(AM8:AM18),"-")</f>
        <v>0</v>
      </c>
      <c r="AN21" s="538">
        <f>IF(ISNUMBER(STDEV(AN8:AN18)),STDEV(AN8:AN18),"-")</f>
        <v>0</v>
      </c>
      <c r="AO21" s="539">
        <f>IF(ISNUMBER(STDEV(AO8:AO18)),STDEV(AO8:AO18),"-")</f>
        <v>2.0127296080071249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YwCfnzXiEb/dQL4/xhsoTo0AERJUkaawxFqyuGW1K4+ltbNXTEfccsgx0PxoC+GZgVj80y5X0tNwav8/XeCPUQ==" saltValue="91hqWxqQeoA5jEg1b5IZZ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9AKe/qzXJ9JvACyLGwP5J/1yO4gTD+KbEPKtDI2yDC+N69JCB5QbmOmtrESAvaimAd+rxQ9T60rhRMC0WsV99g==" saltValue="NO/yzUEMfCDOpmU+QGWVL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64gCJ3pbowb1erDVwhY9gXRPUYPG/7YHBj4Vs1+Jo6+0mRFGHkQFX+uDPgpIWsYzH0AfMlVhnjcgMFXadlaHhw==" saltValue="+KrASnftB6LZqjsYHgeyO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LLANES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0.23383084577114427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0.16534337669536184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yAYRHmJeaAMjnwr8OcjZiVjocqqYdx/glDbE3LB+4o5qgUZsNfEQny1lsGCJFPr2iVM5q/NetevITBQi9METfw==" saltValue="21PVZ3RO/DjkYlIeWeFl4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OShRWBaXm+3gGqzWjuhdtVtd4R2bZbTpm5OeOEIF42uwq4adVFV4eno8JGTozJNNxiYIlD8reQQmX8EKkAiRYg==" saltValue="reKeXntY+catfUjo6E+6F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ASTURIAS</v>
      </c>
      <c r="C2" s="374"/>
      <c r="D2" s="374"/>
      <c r="E2" s="374"/>
      <c r="F2" s="374"/>
    </row>
    <row r="3" spans="1:69" ht="19.5">
      <c r="A3" s="389" t="s">
        <v>115</v>
      </c>
      <c r="B3" s="390" t="str">
        <f>Criterios!A10 &amp;"  "&amp;Criterios!B10</f>
        <v>Provincias  ASTURIAS</v>
      </c>
      <c r="D3" s="374"/>
      <c r="E3" s="374"/>
      <c r="F3" s="374"/>
      <c r="BQ3" s="470"/>
    </row>
    <row r="4" spans="1:69" ht="13.5" thickBot="1">
      <c r="A4" s="374"/>
      <c r="B4" s="390" t="str">
        <f>Criterios!A11 &amp;"  "&amp;Criterios!B11</f>
        <v>Resumenes por Partidos Judiciales  LLANES</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v>
      </c>
      <c r="D10" s="403">
        <f>IF(ISNUMBER(C10/Datos!BH10),C10/Datos!BH10," - ")</f>
        <v>1</v>
      </c>
      <c r="E10" s="402">
        <f>IF(ISNUMBER(Datos!J10),Datos!J10," - ")</f>
        <v>1</v>
      </c>
      <c r="F10" s="403">
        <f>IF(ISNUMBER(E10/B10),E10/B10," - ")</f>
        <v>1</v>
      </c>
      <c r="G10" s="402">
        <f>IF(ISNUMBER(Datos!K10),Datos!K10," - ")</f>
        <v>1</v>
      </c>
      <c r="H10" s="403">
        <f>IF(ISNUMBER(G10/B10),G10/B10," - ")</f>
        <v>1</v>
      </c>
      <c r="I10" s="402">
        <f>IF(ISNUMBER(Datos!L10),Datos!L10," - ")</f>
        <v>1</v>
      </c>
      <c r="J10" s="403">
        <f>IF(ISNUMBER(I10/B10),I10/B10," - ")</f>
        <v>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468</v>
      </c>
      <c r="D12" s="403">
        <f>IF(ISNUMBER(C12/Datos!BH12),C12/Datos!BH12," - ")</f>
        <v>468</v>
      </c>
      <c r="E12" s="402">
        <f>IF(ISNUMBER(IF(J_V="SI",Datos!J12,Datos!J12+Datos!Z12)),IF(J_V="SI",Datos!J12,Datos!J12+Datos!Z12)," - ")</f>
        <v>218</v>
      </c>
      <c r="F12" s="403">
        <f>IF(ISNUMBER(E12/B12),E12/B12," - ")</f>
        <v>218</v>
      </c>
      <c r="G12" s="402">
        <f>IF(ISNUMBER(IF(J_V="SI",Datos!K12,Datos!K12+Datos!AA12)),IF(J_V="SI",Datos!K12,Datos!K12+Datos!AA12)," - ")</f>
        <v>200</v>
      </c>
      <c r="H12" s="403">
        <f>IF(ISNUMBER(G12/B12),G12/B12," - ")</f>
        <v>200</v>
      </c>
      <c r="I12" s="402">
        <f>IF(ISNUMBER(IF(J_V="SI",Datos!L12,Datos!L12+Datos!AB12)),IF(J_V="SI",Datos!L12,Datos!L12+Datos!AB12)," - ")</f>
        <v>486</v>
      </c>
      <c r="J12" s="403">
        <f>IF(ISNUMBER(I12/B12),I12/B12," - ")</f>
        <v>486</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469</v>
      </c>
      <c r="D13" s="849" t="str">
        <f>IF(ISNUMBER(C13/Datos!BI13),C13/Datos!BI13," - ")</f>
        <v xml:space="preserve"> - </v>
      </c>
      <c r="E13" s="848">
        <f>SUBTOTAL(9,E8:E12)</f>
        <v>219</v>
      </c>
      <c r="F13" s="849">
        <f>IF(ISNUMBER(E13/B13),E13/B13," - ")</f>
        <v>219</v>
      </c>
      <c r="G13" s="848">
        <f>SUBTOTAL(9,G8:G12)</f>
        <v>201</v>
      </c>
      <c r="H13" s="849">
        <f>IF(ISNUMBER(G13/B13),G13/B13," - ")</f>
        <v>201</v>
      </c>
      <c r="I13" s="848">
        <f>SUBTOTAL(9,I8:I12)</f>
        <v>487</v>
      </c>
      <c r="J13" s="849">
        <f>IF(ISNUMBER(I13/B13),I13/B13," - ")</f>
        <v>487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312</v>
      </c>
      <c r="D16" s="403">
        <f>IF(ISNUMBER(C16/Datos!BH16),C16/Datos!BH16," - ")</f>
        <v>312</v>
      </c>
      <c r="E16" s="402">
        <f>IF(ISNUMBER(IF(D_I="SI",Datos!J16,Datos!J16+Datos!AD16)),IF(D_I="SI",Datos!J16,Datos!J16+Datos!AD16)," - ")</f>
        <v>222</v>
      </c>
      <c r="F16" s="403">
        <f>IF(ISNUMBER(E16/B16),E16/B16," - ")</f>
        <v>222</v>
      </c>
      <c r="G16" s="402">
        <f>IF(ISNUMBER(IF(D_I="SI",Datos!K16,Datos!K16+Datos!AE16)),IF(D_I="SI",Datos!K16,Datos!K16+Datos!AE16)," - ")</f>
        <v>245</v>
      </c>
      <c r="H16" s="403">
        <f>IF(ISNUMBER(G16/B16),G16/B16," - ")</f>
        <v>245</v>
      </c>
      <c r="I16" s="402">
        <f>IF(ISNUMBER(IF(D_I="SI",Datos!L16,Datos!L16+Datos!AF16)),IF(D_I="SI",Datos!L16,Datos!L16+Datos!AF16)," - ")</f>
        <v>289</v>
      </c>
      <c r="J16" s="403">
        <f>IF(ISNUMBER(I16/B16),I16/B16," - ")</f>
        <v>289</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16</v>
      </c>
      <c r="D17" s="403">
        <f>IF(ISNUMBER(C17/Datos!BH17),C17/Datos!BH17," - ")</f>
        <v>16</v>
      </c>
      <c r="E17" s="402">
        <f>IF(ISNUMBER(IF(D_I="SI",Datos!J17,Datos!J17+Datos!AD17)),IF(D_I="SI",Datos!J17,Datos!J17+Datos!AD17)," - ")</f>
        <v>6</v>
      </c>
      <c r="F17" s="403">
        <f>IF(ISNUMBER(E17/B17),E17/B17," - ")</f>
        <v>6</v>
      </c>
      <c r="G17" s="402">
        <f>IF(ISNUMBER(IF(D_I="SI",Datos!K17,Datos!K17+Datos!AE17)),IF(D_I="SI",Datos!K17,Datos!K17+Datos!AE17)," - ")</f>
        <v>7</v>
      </c>
      <c r="H17" s="403">
        <f>IF(ISNUMBER(G17/B17),G17/B17," - ")</f>
        <v>7</v>
      </c>
      <c r="I17" s="402">
        <f>IF(ISNUMBER(IF(D_I="SI",Datos!L17,Datos!L17+Datos!AF17)),IF(D_I="SI",Datos!L17,Datos!L17+Datos!AF17)," - ")</f>
        <v>15</v>
      </c>
      <c r="J17" s="403">
        <f>IF(ISNUMBER(I17/B17),I17/B17," - ")</f>
        <v>15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328</v>
      </c>
      <c r="D18" s="849" t="str">
        <f>IF(ISNUMBER(C18/Datos!BI18),C18/Datos!BI18," - ")</f>
        <v xml:space="preserve"> - </v>
      </c>
      <c r="E18" s="848">
        <f>SUBTOTAL(9,E14:E17)</f>
        <v>228</v>
      </c>
      <c r="F18" s="849">
        <f>IF(ISNUMBER(E18/B18),E18/B18," - ")</f>
        <v>228</v>
      </c>
      <c r="G18" s="848">
        <f>SUBTOTAL(9,G14:G17)</f>
        <v>252</v>
      </c>
      <c r="H18" s="849">
        <f>IF(ISNUMBER(G18/B18),G18/B18," - ")</f>
        <v>252</v>
      </c>
      <c r="I18" s="848">
        <f>SUBTOTAL(9,I14:I17)</f>
        <v>304</v>
      </c>
      <c r="J18" s="849">
        <f>IF(ISNUMBER(I18/B18),I18/B18," - ")</f>
        <v>304</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797</v>
      </c>
      <c r="D19" s="794" t="str">
        <f>IF(ISNUMBER(C19/Datos!BI19),C19/Datos!BI19," - ")</f>
        <v xml:space="preserve"> - </v>
      </c>
      <c r="E19" s="793">
        <f>SUBTOTAL(9,E9:E18)</f>
        <v>447</v>
      </c>
      <c r="F19" s="794">
        <f>IF(ISNUMBER(E19/B19),E19/B19," - ")</f>
        <v>447</v>
      </c>
      <c r="G19" s="793">
        <f>SUBTOTAL(9,G9:G18)</f>
        <v>453</v>
      </c>
      <c r="H19" s="794">
        <f>IF(ISNUMBER(G19/B19),G19/B19," - ")</f>
        <v>453</v>
      </c>
      <c r="I19" s="793">
        <f>SUBTOTAL(9,I9:I18)</f>
        <v>791</v>
      </c>
      <c r="J19" s="794">
        <f>IF(ISNUMBER(I19/B19),I19/B19," - ")</f>
        <v>791</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jSN+rwtSa11BalmjIOf2FhyUXm8f4z3LwFRgBu9VAuuUnSdcmWG7ewtIEYVK1Tbz323289cKabG79hQ8ZXxYww==" saltValue="SMshp8EswfVe4zGcV5z80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ASTURIAS</v>
      </c>
      <c r="W1"/>
      <c r="X1"/>
    </row>
    <row r="2" spans="1:78" ht="16.5" customHeight="1">
      <c r="C2" s="487" t="str">
        <f>Criterios!A10 &amp;"  "&amp;Criterios!B10 &amp; "  " &amp; IF(NOT(ISBLANK(Criterios!A11)),Criterios!A11 &amp;"  "&amp;Criterios!B11,"")</f>
        <v>Provincias  ASTURIAS  Resumenes por Partidos Judiciales  LLANES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v>
      </c>
      <c r="G10" s="683">
        <f>IF(ISNUMBER(Datos!I10),Datos!I10," - ")</f>
        <v>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v>
      </c>
      <c r="AC10" s="682" t="str">
        <f>IF(ISNUMBER(IF(D_I="SI",DatosP!K17,DatosP!K17+DatosP!AE17)),IF(D_I="SI",DatosP!K17,DatosP!K17+DatosP!AE17)," - ")</f>
        <v xml:space="preserve"> - </v>
      </c>
      <c r="AD10" s="684"/>
      <c r="AE10" s="684"/>
      <c r="AF10" s="687">
        <f>IF(ISNUMBER(Datos!L10),Datos!L10,"-")</f>
        <v>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3</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42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37</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809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46</v>
      </c>
      <c r="AM12" s="689">
        <f>IF(ISNUMBER(Datos!N12+DatosP!N16),Datos!N12+DatosP!N16," - ")</f>
        <v>85</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7.29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6.2189054726368162E-3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1</v>
      </c>
      <c r="G13" s="937">
        <f t="shared" si="0"/>
        <v>1</v>
      </c>
      <c r="H13" s="937">
        <f t="shared" si="0"/>
        <v>0</v>
      </c>
      <c r="I13" s="939">
        <f t="shared" si="0"/>
        <v>0</v>
      </c>
      <c r="J13" s="938">
        <f t="shared" si="0"/>
        <v>0</v>
      </c>
      <c r="K13" s="938">
        <f t="shared" si="0"/>
        <v>0</v>
      </c>
      <c r="L13" s="940">
        <f t="shared" si="0"/>
        <v>0</v>
      </c>
      <c r="M13" s="940">
        <f t="shared" si="0"/>
        <v>0</v>
      </c>
      <c r="N13" s="938">
        <f t="shared" si="0"/>
        <v>42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v>
      </c>
      <c r="AC13" s="938">
        <f t="shared" si="1"/>
        <v>0</v>
      </c>
      <c r="AD13" s="938">
        <f t="shared" si="1"/>
        <v>37</v>
      </c>
      <c r="AE13" s="938">
        <f t="shared" si="1"/>
        <v>0</v>
      </c>
      <c r="AF13" s="938">
        <f t="shared" si="1"/>
        <v>1</v>
      </c>
      <c r="AG13" s="938">
        <f t="shared" si="1"/>
        <v>0</v>
      </c>
      <c r="AH13" s="938">
        <f t="shared" si="1"/>
        <v>809</v>
      </c>
      <c r="AI13" s="938">
        <f t="shared" si="1"/>
        <v>0</v>
      </c>
      <c r="AJ13" s="938">
        <f t="shared" si="1"/>
        <v>0</v>
      </c>
      <c r="AK13" s="938">
        <f t="shared" si="1"/>
        <v>0</v>
      </c>
      <c r="AL13" s="938">
        <f t="shared" si="1"/>
        <v>47</v>
      </c>
      <c r="AM13" s="938">
        <f t="shared" si="1"/>
        <v>85</v>
      </c>
      <c r="AN13" s="938">
        <f t="shared" si="1"/>
        <v>0</v>
      </c>
      <c r="AO13" s="938">
        <f t="shared" si="1"/>
        <v>0</v>
      </c>
      <c r="AP13" s="943">
        <f>IF(ISNUMBER(((Datos!L13/Datos!K13)*11)/factor_trimestre),((Datos!L13/Datos!K13)*11)/factor_trimestre," - ")</f>
        <v>8.5527950310559007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v>
      </c>
      <c r="AU13" s="938" t="str">
        <f>IF(ISNUMBER((DatosP!#REF!-DatosP!#REF!+DatosP!#REF!)/(DatosP!#REF!+DatosP!#REF!-DatosP!#REF!-DatosP!#REF!)),(DatosP!#REF!-DatosP!#REF!+DatosP!#REF!)/(DatosP!#REF!+DatosP!#REF!-DatosP!#REF!-DatosP!#REF!)," - ")</f>
        <v xml:space="preserve"> - </v>
      </c>
      <c r="AV13" s="944">
        <f>SUBTOTAL(9,AV9:AV12)</f>
        <v>6.2189054726368162E-3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3.6190476190476191</v>
      </c>
      <c r="AQ18" s="943">
        <f>IF(ISNUMBER(((Datos!M18/Datos!L18)*11)/factor_trimestre),((Datos!M18/Datos!L18)*11)/factor_trimestre," - ")</f>
        <v>0.25657894736842107</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-2.8985507246376812E-2</v>
      </c>
      <c r="AW18" s="945">
        <f>IF(ISNUMBER((Datos!Q18-Datos!R18)/(Datos!S18-Datos!Q18+Datos!R18)),(Datos!Q18-Datos!R18)/(Datos!S18-Datos!Q18+Datos!R18)," - ")</f>
        <v>-0.17272727272727273</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1</v>
      </c>
      <c r="G19" s="950">
        <f t="shared" si="4"/>
        <v>1</v>
      </c>
      <c r="H19" s="950">
        <f t="shared" si="4"/>
        <v>0</v>
      </c>
      <c r="I19" s="951">
        <f t="shared" si="4"/>
        <v>0</v>
      </c>
      <c r="J19" s="952">
        <f t="shared" si="4"/>
        <v>0</v>
      </c>
      <c r="K19" s="952">
        <f t="shared" si="4"/>
        <v>0</v>
      </c>
      <c r="L19" s="952">
        <f t="shared" si="4"/>
        <v>0</v>
      </c>
      <c r="M19" s="952">
        <f t="shared" si="4"/>
        <v>0</v>
      </c>
      <c r="N19" s="951">
        <f t="shared" si="4"/>
        <v>42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v>
      </c>
      <c r="AC19" s="956">
        <f t="shared" si="5"/>
        <v>0</v>
      </c>
      <c r="AD19" s="956">
        <f t="shared" si="5"/>
        <v>37</v>
      </c>
      <c r="AE19" s="956">
        <f t="shared" si="5"/>
        <v>0</v>
      </c>
      <c r="AF19" s="957">
        <f t="shared" si="5"/>
        <v>1</v>
      </c>
      <c r="AG19" s="957">
        <f t="shared" si="5"/>
        <v>0</v>
      </c>
      <c r="AH19" s="957">
        <f t="shared" si="5"/>
        <v>809</v>
      </c>
      <c r="AI19" s="957">
        <f t="shared" si="5"/>
        <v>0</v>
      </c>
      <c r="AJ19" s="958">
        <f t="shared" si="5"/>
        <v>0</v>
      </c>
      <c r="AK19" s="958">
        <f t="shared" si="5"/>
        <v>0</v>
      </c>
      <c r="AL19" s="950">
        <f t="shared" si="5"/>
        <v>47</v>
      </c>
      <c r="AM19" s="950">
        <f t="shared" si="5"/>
        <v>85</v>
      </c>
      <c r="AN19" s="950">
        <f t="shared" si="5"/>
        <v>0</v>
      </c>
      <c r="AO19" s="950">
        <f t="shared" si="5"/>
        <v>0</v>
      </c>
      <c r="AP19" s="950">
        <f>IF(ISNUMBER(((Datos!L19/Datos!K19)*11)/factor_trimestre),((Datos!L19/Datos!K19)*11)/factor_trimestre," - ")</f>
        <v>5.5423728813559316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3.4364261168384879E-3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0.66666666666666663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0.57735026918962584</v>
      </c>
      <c r="G21" s="736">
        <f>IF(ISNUMBER(STDEV(G8:G18)),STDEV(G8:G18),"-")</f>
        <v>0.57735026918962584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0.57735026918962584</v>
      </c>
      <c r="AC21" s="737">
        <f>IF(ISNUMBER(STDEV(AC8:AC18)),STDEV(AC8:AC18),"-")</f>
        <v>0</v>
      </c>
      <c r="AD21" s="740"/>
      <c r="AE21" s="740"/>
      <c r="AF21" s="740"/>
      <c r="AG21" s="740"/>
      <c r="AH21" s="740"/>
      <c r="AI21" s="740"/>
      <c r="AJ21" s="741">
        <f>IF(ISNUMBER(STDEV(AJ8:AJ18)),STDEV(AJ8:AJ18),"-")</f>
        <v>0</v>
      </c>
      <c r="AK21" s="743"/>
      <c r="AL21" s="735">
        <f>IF(ISNUMBER(STDEV(AL8:AL18)),STDEV(AL8:AL18),"-")</f>
        <v>26.564387187862373</v>
      </c>
      <c r="AM21" s="735"/>
      <c r="AN21" s="735">
        <f>IF(ISNUMBER(STDEV(AN8:AN18)),STDEV(AN8:AN18),"-")</f>
        <v>0</v>
      </c>
      <c r="AO21" s="741">
        <f>IF(ISNUMBER(STDEV(AO8:AO18)),STDEV(AO8:AO18),"-")</f>
        <v>0</v>
      </c>
      <c r="AP21" s="778">
        <f>IF(ISNUMBER(STDEV(AP8:AP18)),STDEV(AP8:AP18),"-")</f>
        <v>2.7238645770722143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gd0WZUTPkieghdWBHFwc0B96KBLF3p+TrNbAX5fYt7s9k7QfTFEPfc5/NOy+tRthkI9N/GGbv0IqLxTgfL9hMg==" saltValue="NEhzA6OYUOdx+DZUkgb1L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ASTURIAS</v>
      </c>
      <c r="C2" s="374"/>
      <c r="E2" s="374"/>
      <c r="F2" s="374"/>
      <c r="G2" s="374"/>
      <c r="H2" s="374"/>
    </row>
    <row r="3" spans="1:15" ht="39">
      <c r="A3" s="414" t="s">
        <v>218</v>
      </c>
      <c r="B3" s="390" t="str">
        <f>Criterios!A10 &amp;"  "&amp;Criterios!B10</f>
        <v>Provincias  ASTURIAS</v>
      </c>
      <c r="C3" s="414"/>
      <c r="F3" s="374"/>
      <c r="G3" s="374"/>
      <c r="H3" s="374"/>
    </row>
    <row r="4" spans="1:15" ht="13.5" thickBot="1">
      <c r="A4" s="374"/>
      <c r="B4" s="390" t="str">
        <f>Criterios!A11 &amp;"  "&amp;Criterios!B11</f>
        <v>Resumenes por Partidos Judiciales  LLANES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jPEVjbbJT6/SyWT+9yvpvW48vuGMrzpjCHSVHTVeVbESq6mRveejpYV+Hg81kul+lAcwyc1sR0Bv5VdnQqAl9w==" saltValue="EBSptWsinxKA62nVBqLDr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ASTURIAS</v>
      </c>
      <c r="C2" s="390"/>
    </row>
    <row r="3" spans="1:78" ht="19.5">
      <c r="A3" s="424" t="s">
        <v>11</v>
      </c>
      <c r="B3" s="390" t="str">
        <f>Criterios!A10 &amp;"  "&amp;Criterios!B10</f>
        <v>Provincias  ASTURIAS</v>
      </c>
      <c r="C3" s="390"/>
      <c r="D3" s="424"/>
      <c r="BZ3" s="470"/>
    </row>
    <row r="4" spans="1:78" ht="13.5" thickBot="1">
      <c r="B4" s="390" t="str">
        <f>Criterios!A11 &amp;"  "&amp;Criterios!B11</f>
        <v>Resumenes por Partidos Judiciales  LLANES</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v>
      </c>
      <c r="E10" s="403">
        <f>IF(ISNUMBER(D10/B10),D10/B10," - ")</f>
        <v>1</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46</v>
      </c>
      <c r="E12" s="403">
        <f t="shared" si="0"/>
        <v>46</v>
      </c>
      <c r="F12" s="402">
        <f>IF(ISNUMBER(Datos!N12),Datos!N12," - ")</f>
        <v>85</v>
      </c>
      <c r="G12" s="403">
        <f t="shared" si="1"/>
        <v>85</v>
      </c>
      <c r="H12" s="402">
        <f>IF(ISNUMBER(Datos!O12),Datos!O12," - ")</f>
        <v>100</v>
      </c>
      <c r="I12" s="403">
        <f t="shared" si="2"/>
        <v>100</v>
      </c>
      <c r="BZ12" s="1185">
        <f>Datos!EZ12</f>
        <v>0</v>
      </c>
    </row>
    <row r="13" spans="1:78" ht="14.25" thickTop="1" thickBot="1">
      <c r="A13" s="847" t="str">
        <f>Datos!A13</f>
        <v>TOTAL</v>
      </c>
      <c r="B13" s="848">
        <f>Datos!AP13</f>
        <v>1</v>
      </c>
      <c r="C13" s="850">
        <f>Datos!AR13</f>
        <v>1</v>
      </c>
      <c r="D13" s="848">
        <f>SUBTOTAL(9,D9:D12)</f>
        <v>47</v>
      </c>
      <c r="E13" s="849">
        <f t="shared" si="0"/>
        <v>47</v>
      </c>
      <c r="F13" s="848">
        <f>SUBTOTAL(9,F9:F12)</f>
        <v>85</v>
      </c>
      <c r="G13" s="849">
        <f t="shared" si="1"/>
        <v>85</v>
      </c>
      <c r="H13" s="848">
        <f>SUBTOTAL(9,H9:H12)</f>
        <v>100</v>
      </c>
      <c r="I13" s="849">
        <f>IF(ISNUMBER(H13/B13),H13/B13," - ")</f>
        <v>100</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25</v>
      </c>
      <c r="E16" s="403">
        <f t="shared" si="3"/>
        <v>25</v>
      </c>
      <c r="F16" s="402">
        <f>IF(ISNUMBER(Datos!N16),Datos!N16," - ")</f>
        <v>170</v>
      </c>
      <c r="G16" s="403">
        <f t="shared" si="4"/>
        <v>170</v>
      </c>
      <c r="H16" s="402">
        <f>IF(ISNUMBER(Datos!O16),Datos!O16," - ")</f>
        <v>10</v>
      </c>
      <c r="I16" s="403">
        <f t="shared" si="5"/>
        <v>10</v>
      </c>
      <c r="BZ16" s="1185">
        <f>Datos!EZ16</f>
        <v>0</v>
      </c>
    </row>
    <row r="17" spans="1:78" ht="13.5" thickBot="1">
      <c r="A17" s="401" t="str">
        <f>Datos!A17</f>
        <v>Jdos. Violencia contra la mujer/Secc Viol. TI.</v>
      </c>
      <c r="B17" s="426">
        <f>Datos!AO17</f>
        <v>1</v>
      </c>
      <c r="C17" s="427">
        <f>Datos!AQ17</f>
        <v>0</v>
      </c>
      <c r="D17" s="402">
        <f>IF(ISNUMBER(Datos!M17),Datos!M17," - ")</f>
        <v>1</v>
      </c>
      <c r="E17" s="403">
        <f>IF(ISNUMBER(D17/B17),D17/B17," - ")</f>
        <v>1</v>
      </c>
      <c r="F17" s="402">
        <f>IF(ISNUMBER(Datos!N17),Datos!N17," - ")</f>
        <v>9</v>
      </c>
      <c r="G17" s="403">
        <f>IF(ISNUMBER(F17/B17),F17/B17," - ")</f>
        <v>9</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26</v>
      </c>
      <c r="E18" s="849">
        <f t="shared" si="3"/>
        <v>26</v>
      </c>
      <c r="F18" s="848">
        <f>SUBTOTAL(9,F15:F17)</f>
        <v>179</v>
      </c>
      <c r="G18" s="849">
        <f t="shared" si="4"/>
        <v>179</v>
      </c>
      <c r="H18" s="848">
        <f>SUBTOTAL(9,H15:H17)</f>
        <v>10</v>
      </c>
      <c r="I18" s="849">
        <f>IF(ISNUMBER(H18/B18),H18/B18," - ")</f>
        <v>10</v>
      </c>
      <c r="BZ18" s="1185"/>
    </row>
    <row r="19" spans="1:78" ht="14.25" thickTop="1" thickBot="1">
      <c r="A19" s="792" t="str">
        <f>Datos!A19</f>
        <v>TOTAL JURISDICCIONES</v>
      </c>
      <c r="B19" s="793">
        <f>Datos!AP19</f>
        <v>1</v>
      </c>
      <c r="C19" s="793">
        <f>Datos!AR19</f>
        <v>1</v>
      </c>
      <c r="D19" s="793">
        <f>SUBTOTAL(9,D8:D18)</f>
        <v>73</v>
      </c>
      <c r="E19" s="794">
        <f>IF(ISNUMBER(D19/B19),D19/B19," - ")</f>
        <v>73</v>
      </c>
      <c r="F19" s="793">
        <f>SUBTOTAL(9,F8:F18)</f>
        <v>264</v>
      </c>
      <c r="G19" s="794">
        <f>IF(ISNUMBER(F19/B19),F19/B19," - ")</f>
        <v>264</v>
      </c>
      <c r="H19" s="793">
        <f>SUBTOTAL(9,H8:H18)</f>
        <v>110</v>
      </c>
      <c r="I19" s="794">
        <f>IF(ISNUMBER(H19/B19),H19/B19," - ")</f>
        <v>110</v>
      </c>
    </row>
    <row r="22" spans="1:78">
      <c r="A22" s="390" t="str">
        <f>Criterios!A4</f>
        <v>Fecha Informe: 17 mar. 2026</v>
      </c>
    </row>
    <row r="27" spans="1:78">
      <c r="A27" s="413"/>
    </row>
  </sheetData>
  <sheetProtection algorithmName="SHA-512" hashValue="R/WAMtvMEs9zUXPeGr8HvDVHyLFXUZtQnn8qySnj9rngj1c3NQq6Ojo7jSsygZUAt9DIM4xs8f/WMuGXQcHOCw==" saltValue="g0JzfOHRE44QPbXvPcnno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ASTURIAS</v>
      </c>
    </row>
    <row r="3" spans="1:4" ht="19.5">
      <c r="A3" s="428" t="s">
        <v>32</v>
      </c>
      <c r="B3" s="390" t="str">
        <f>Criterios!A10 &amp;"  "&amp;Criterios!B10</f>
        <v>Provincias  ASTURIAS</v>
      </c>
    </row>
    <row r="4" spans="1:4" ht="13.5" thickBot="1">
      <c r="B4" s="390" t="str">
        <f>Criterios!A11 &amp;"  "&amp;Criterios!B11</f>
        <v>Resumenes por Partidos Judiciales  LLANES</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42</v>
      </c>
      <c r="C12" s="433">
        <f>IF(ISNUMBER(Datos!Q12),Datos!Q12," - ")</f>
        <v>37</v>
      </c>
      <c r="D12" s="407">
        <f>IF(ISNUMBER(Datos!R12),Datos!R12," - ")</f>
        <v>809</v>
      </c>
    </row>
    <row r="13" spans="1:4" ht="14.25" thickTop="1" thickBot="1">
      <c r="A13" s="847" t="str">
        <f>Datos!A13</f>
        <v>TOTAL</v>
      </c>
      <c r="B13" s="848">
        <f>SUBTOTAL(9,B9:B12)</f>
        <v>42</v>
      </c>
      <c r="C13" s="852">
        <f>SUBTOTAL(9,C9:C12)</f>
        <v>37</v>
      </c>
      <c r="D13" s="850">
        <f>SUBTOTAL(9,D9:D12)</f>
        <v>809</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8</v>
      </c>
      <c r="C16" s="433">
        <f>IF(ISNUMBER(Datos!Q16),Datos!Q16," - ")</f>
        <v>10</v>
      </c>
      <c r="D16" s="407">
        <f>IF(ISNUMBER(Datos!R16),Datos!R16," - ")</f>
        <v>67</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8</v>
      </c>
      <c r="C18" s="852">
        <f>SUBTOTAL(9,C15:C17)</f>
        <v>10</v>
      </c>
      <c r="D18" s="850">
        <f>SUBTOTAL(9,D15:D17)</f>
        <v>67</v>
      </c>
    </row>
    <row r="19" spans="1:4" ht="16.5" customHeight="1" thickTop="1" thickBot="1">
      <c r="A19" s="792" t="str">
        <f>Datos!A19</f>
        <v>TOTAL JURISDICCIONES</v>
      </c>
      <c r="B19" s="797">
        <f>SUBTOTAL(9,B8:B18)</f>
        <v>50</v>
      </c>
      <c r="C19" s="798">
        <f>SUBTOTAL(9,C8:C18)</f>
        <v>47</v>
      </c>
      <c r="D19" s="799">
        <f>SUBTOTAL(9,D8:D18)</f>
        <v>876</v>
      </c>
    </row>
    <row r="20" spans="1:4" ht="7.5" customHeight="1"/>
    <row r="21" spans="1:4" ht="6" customHeight="1"/>
    <row r="22" spans="1:4">
      <c r="A22" s="390" t="str">
        <f>Criterios!A4</f>
        <v>Fecha Informe: 17 mar. 2026</v>
      </c>
    </row>
    <row r="27" spans="1:4">
      <c r="A27" s="413"/>
    </row>
  </sheetData>
  <sheetProtection algorithmName="SHA-512" hashValue="KXhjyBRA5qRiV4sNxhil7IYKa9EoZbzc8n0jPScYTyg9g5bKFVmIzMbM8g4HMlSlZZzPmA7CgQFdOFvQVM94nA==" saltValue="MqyfjCmbrueV/eQncFKuJ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ASTURIAS</v>
      </c>
    </row>
    <row r="3" spans="1:11" ht="18.75" customHeight="1">
      <c r="A3" s="428" t="s">
        <v>118</v>
      </c>
      <c r="B3" s="390" t="str">
        <f>Criterios!A10 &amp;"  "&amp;Criterios!B10</f>
        <v>Provincias  ASTURIAS</v>
      </c>
    </row>
    <row r="4" spans="1:11" ht="10.5" customHeight="1" thickBot="1">
      <c r="B4" s="390" t="str">
        <f>Criterios!A11 &amp;"  "&amp;Criterios!B11</f>
        <v>Resumenes por Partidos Judiciales  LLANES</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v>
      </c>
      <c r="C10" s="455">
        <f>IF(ISNUMBER((Datos!J10-Datos!T10)/Datos!T10),(Datos!J10-Datos!T10)/Datos!T10," - ")</f>
        <v>0</v>
      </c>
      <c r="D10" s="455">
        <f>IF(ISNUMBER((Datos!K10-Datos!U10)/Datos!U10),(Datos!K10-Datos!U10)/Datos!U10," - ")</f>
        <v>0</v>
      </c>
      <c r="E10" s="455">
        <f>IF(ISNUMBER((Datos!L10-Datos!V10)/Datos!V10),(Datos!L10-Datos!V10)/Datos!V10," - ")</f>
        <v>0</v>
      </c>
      <c r="F10" s="455">
        <f>IF(ISNUMBER((Datos!M10-Datos!W10)/Datos!W10),(Datos!M10-Datos!W10)/Datos!W10," - ")</f>
        <v>0</v>
      </c>
      <c r="G10" s="456" t="str">
        <f>IF(ISNUMBER((Datos!N10-Datos!X10)/Datos!X10),(Datos!N10-Datos!X10)/Datos!X10," - ")</f>
        <v xml:space="preserve"> - </v>
      </c>
      <c r="H10" s="454">
        <f>IF(ISNUMBER(((NºAsuntos!G10/NºAsuntos!E10)-Datos!BD10)/Datos!BD10),((NºAsuntos!G10/NºAsuntos!E10)-Datos!BD10)/Datos!BD10," - ")</f>
        <v>0</v>
      </c>
      <c r="I10" s="455">
        <f>IF(ISNUMBER(((NºAsuntos!I10/NºAsuntos!G10)-Datos!BE10)/Datos!BE10),((NºAsuntos!I10/NºAsuntos!G10)-Datos!BE10)/Datos!BE10," - ")</f>
        <v>0</v>
      </c>
      <c r="J10" s="460">
        <f>IF(ISNUMBER((('Resol  Asuntos'!D10/NºAsuntos!G10)-Datos!BF10)/Datos!BF10),(('Resol  Asuntos'!D10/NºAsuntos!G10)-Datos!BF10)/Datos!BF10," - ")</f>
        <v>0</v>
      </c>
      <c r="K10" s="461">
        <f>IF(ISNUMBER((((NºAsuntos!C10+NºAsuntos!E10)/NºAsuntos!G10)-Datos!BG10)/Datos!BG10),(((NºAsuntos!C10+NºAsuntos!E10)/NºAsuntos!G10)-Datos!BG10)/Datos!BG10," - ")</f>
        <v>0</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0.12771084337349398</v>
      </c>
      <c r="C12" s="455">
        <f>IF(ISNUMBER(
   IF(J_V="SI",(Datos!J12-Datos!T12)/Datos!T12,(Datos!J12+Datos!Z12-(Datos!T12+Datos!AH12))/(Datos!T12+Datos!AH12))
     ),IF(J_V="SI",(Datos!J12-Datos!T12)/Datos!T12,(Datos!J12+Datos!Z12-(Datos!T12+Datos!AH12))/(Datos!T12+Datos!AH12))," - ")</f>
        <v>-0.26351351351351349</v>
      </c>
      <c r="D12" s="455">
        <f>IF(ISNUMBER(
   IF(J_V="SI",(Datos!K12-Datos!U12)/Datos!U12,(Datos!K12+Datos!AA12-(Datos!U12+Datos!AI12))/(Datos!U12+Datos!AI12))
     ),IF(J_V="SI",(Datos!K12-Datos!U12)/Datos!U12,(Datos!K12+Datos!AA12-(Datos!U12+Datos!AI12))/(Datos!U12+Datos!AI12))," - ")</f>
        <v>-0.37694704049844235</v>
      </c>
      <c r="E12" s="455">
        <f>IF(ISNUMBER(
   IF(J_V="SI",(Datos!L12-Datos!V12)/Datos!V12,(Datos!L12+Datos!AB12-(Datos!V12+Datos!AJ12))/(Datos!V12+Datos!AJ12))
     ),IF(J_V="SI",(Datos!L12-Datos!V12)/Datos!V12,(Datos!L12+Datos!AB12-(Datos!V12+Datos!AJ12))/(Datos!V12+Datos!AJ12))," - ")</f>
        <v>0.24615384615384617</v>
      </c>
      <c r="F12" s="455">
        <f>IF(ISNUMBER((Datos!M12-Datos!W12)/Datos!W12),(Datos!M12-Datos!W12)/Datos!W12," - ")</f>
        <v>-0.43902439024390244</v>
      </c>
      <c r="G12" s="456">
        <f>IF(ISNUMBER((Datos!N12-Datos!X12)/Datos!X12),(Datos!N12-Datos!X12)/Datos!X12," - ")</f>
        <v>1.3611111111111112</v>
      </c>
      <c r="H12" s="454">
        <f>IF(ISNUMBER(((NºAsuntos!G12/NºAsuntos!E12)-Datos!BD12)/Datos!BD12),((NºAsuntos!G12/NºAsuntos!E12)-Datos!BD12)/Datos!BD12," - ")</f>
        <v>-0.15401983480522444</v>
      </c>
      <c r="I12" s="455">
        <f>IF(ISNUMBER(((NºAsuntos!I12/NºAsuntos!G12)-Datos!BE12)/Datos!BE12),((NºAsuntos!I12/NºAsuntos!G12)-Datos!BE12)/Datos!BE12," - ")</f>
        <v>1.0000769230769233</v>
      </c>
      <c r="J12" s="460">
        <f>IF(ISNUMBER((('Resol  Asuntos'!D12/NºAsuntos!G12)-Datos!BF12)/Datos!BF12),(('Resol  Asuntos'!D12/NºAsuntos!G12)-Datos!BF12)/Datos!BF12," - ")</f>
        <v>1.0508333333333335</v>
      </c>
      <c r="K12" s="461">
        <f>IF(ISNUMBER((((NºAsuntos!C12+NºAsuntos!E12)/NºAsuntos!G12)-Datos!BG12)/Datos!BG12),(((NºAsuntos!C12+NºAsuntos!E12)/NºAsuntos!G12)-Datos!BG12)/Datos!BG12," - ")</f>
        <v>0.54856540084388195</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0.12740384615384615</v>
      </c>
      <c r="C13" s="854">
        <f>IF(ISNUMBER(
   IF(J_V="SI",(Datos!J13-Datos!T13)/Datos!T13,(Datos!J13+Datos!Z13-(Datos!T13+Datos!AH13))/(Datos!T13+Datos!AH13))
     ),IF(J_V="SI",(Datos!J13-Datos!T13)/Datos!T13,(Datos!J13+Datos!Z13-(Datos!T13+Datos!AH13))/(Datos!T13+Datos!AH13))," - ")</f>
        <v>-0.26262626262626265</v>
      </c>
      <c r="D13" s="854">
        <f>IF(ISNUMBER(
   IF(J_V="SI",(Datos!K13-Datos!U13)/Datos!U13,(Datos!K13+Datos!AA13-(Datos!U13+Datos!AI13))/(Datos!U13+Datos!AI13))
     ),IF(J_V="SI",(Datos!K13-Datos!U13)/Datos!U13,(Datos!K13+Datos!AA13-(Datos!U13+Datos!AI13))/(Datos!U13+Datos!AI13))," - ")</f>
        <v>-0.37577639751552794</v>
      </c>
      <c r="E13" s="854">
        <f>IF(ISNUMBER(
   IF(J_V="SI",(Datos!L13-Datos!V13)/Datos!V13,(Datos!L13+Datos!AB13-(Datos!V13+Datos!AJ13))/(Datos!V13+Datos!AJ13))
     ),IF(J_V="SI",(Datos!L13-Datos!V13)/Datos!V13,(Datos!L13+Datos!AB13-(Datos!V13+Datos!AJ13))/(Datos!V13+Datos!AJ13))," - ")</f>
        <v>0.24552429667519182</v>
      </c>
      <c r="F13" s="855">
        <f>IF(ISNUMBER((Datos!M13-Datos!W13)/Datos!W13),(Datos!M13-Datos!W13)/Datos!W13," - ")</f>
        <v>-0.43373493975903615</v>
      </c>
      <c r="G13" s="856">
        <f>IF(ISNUMBER((Datos!N13-Datos!X13)/Datos!X13),(Datos!N13-Datos!X13)/Datos!X13," - ")</f>
        <v>1.3611111111111112</v>
      </c>
      <c r="H13" s="856">
        <f>IF(ISNUMBER(((NºAsuntos!G13/NºAsuntos!E13)-Datos!BD13)/Datos!BD13),((NºAsuntos!G13/NºAsuntos!E13)-Datos!BD13)/Datos!BD13," - ")</f>
        <v>-0.15345018293201731</v>
      </c>
      <c r="I13" s="856">
        <f>IF(ISNUMBER(((NºAsuntos!I13/NºAsuntos!G13)-Datos!BE13)/Datos!BE13),((NºAsuntos!I13/NºAsuntos!G13)-Datos!BE13)/Datos!BE13," - ")</f>
        <v>0.99531752999707357</v>
      </c>
      <c r="J13" s="856">
        <f>IF(ISNUMBER((('Resol  Asuntos'!D13/NºAsuntos!G13)-Datos!BF13)/Datos!BF13),(('Resol  Asuntos'!D13/NºAsuntos!G13)-Datos!BF13)/Datos!BF13," - ")</f>
        <v>1.0349603334677961</v>
      </c>
      <c r="K13" s="856">
        <f>IF(ISNUMBER((((NºAsuntos!C13+NºAsuntos!E13)/NºAsuntos!G13)-Datos!BG13)/Datos!BG13),(((NºAsuntos!C13+NºAsuntos!E13)/NºAsuntos!G13)-Datos!BG13)/Datos!BG13," - ")</f>
        <v>0.54581929064355628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0.19083969465648856</v>
      </c>
      <c r="C16" s="455">
        <f>IF(ISNUMBER(
   IF(D_I="SI",(Datos!J16-Datos!T16)/Datos!T16,(Datos!J16+Datos!AD16-(Datos!T16+Datos!AL16))/(Datos!T16+Datos!AL16))
     ),IF(D_I="SI",(Datos!J16-Datos!T16)/Datos!T16,(Datos!J16+Datos!AD16-(Datos!T16+Datos!AL16))/(Datos!T16+Datos!AL16))," - ")</f>
        <v>-5.128205128205128E-2</v>
      </c>
      <c r="D16" s="455">
        <f>IF(ISNUMBER(
   IF(D_I="SI",(Datos!K16-Datos!U16)/Datos!U16,(Datos!K16+Datos!AE16-(Datos!U16+Datos!AM16))/(Datos!U16+Datos!AM16))
     ),IF(D_I="SI",(Datos!K16-Datos!U16)/Datos!U16,(Datos!K16+Datos!AE16-(Datos!U16+Datos!AM16))/(Datos!U16+Datos!AM16))," - ")</f>
        <v>-1.2096774193548387E-2</v>
      </c>
      <c r="E16" s="455">
        <f>IF(ISNUMBER(
   IF(D_I="SI",(Datos!L16-Datos!V16)/Datos!V16,(Datos!L16+Datos!AF16-(Datos!V16+Datos!AN16))/(Datos!V16+Datos!AN16))
     ),IF(D_I="SI",(Datos!L16-Datos!V16)/Datos!V16,(Datos!L16+Datos!AF16-(Datos!V16+Datos!AN16))/(Datos!V16+Datos!AN16))," - ")</f>
        <v>0.16532258064516128</v>
      </c>
      <c r="F16" s="455">
        <f>IF(ISNUMBER((Datos!M16-Datos!W16)/Datos!W16),(Datos!M16-Datos!W16)/Datos!W16," - ")</f>
        <v>-0.35897435897435898</v>
      </c>
      <c r="G16" s="456">
        <f>IF(ISNUMBER((Datos!N16-Datos!X16)/Datos!X16),(Datos!N16-Datos!X16)/Datos!X16," - ")</f>
        <v>-5.027932960893855E-2</v>
      </c>
      <c r="H16" s="454">
        <f>IF(ISNUMBER(((NºAsuntos!G16/NºAsuntos!E16)-Datos!BD16)/Datos!BD16),((NºAsuntos!G16/NºAsuntos!E16)-Datos!BD16)/Datos!BD16," - ")</f>
        <v>4.1303400174367955E-2</v>
      </c>
      <c r="I16" s="455">
        <f>IF(ISNUMBER(((NºAsuntos!I16/NºAsuntos!G16)-Datos!BE16)/Datos!BE16),((NºAsuntos!I16/NºAsuntos!G16)-Datos!BE16)/Datos!BE16," - ")</f>
        <v>0.17959183673469381</v>
      </c>
      <c r="J16" s="460">
        <f>IF(ISNUMBER((('Resol  Asuntos'!D16/NºAsuntos!G16)-Datos!BF16)/Datos!BF16),(('Resol  Asuntos'!D16/NºAsuntos!G16)-Datos!BF16)/Datos!BF16," - ")</f>
        <v>-0.3511250654107797</v>
      </c>
      <c r="K16" s="461">
        <f>IF(ISNUMBER((((NºAsuntos!C16+NºAsuntos!E16)/NºAsuntos!G16)-Datos!BG16)/Datos!BG16),(((NºAsuntos!C16+NºAsuntos!E16)/NºAsuntos!G16)-Datos!BG16)/Datos!BG16," - ")</f>
        <v>8.9795918367346905E-2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0.45454545454545453</v>
      </c>
      <c r="C17" s="455">
        <f>IF(ISNUMBER(
   IF(D_I="SI",(Datos!J17-Datos!T17)/Datos!T17,(Datos!J17+Datos!AD17-(Datos!T17+Datos!AL17))/(Datos!T17+Datos!AL17))
     ),IF(D_I="SI",(Datos!J17-Datos!T17)/Datos!T17,(Datos!J17+Datos!AD17-(Datos!T17+Datos!AL17))/(Datos!T17+Datos!AL17))," - ")</f>
        <v>-0.33333333333333331</v>
      </c>
      <c r="D17" s="455">
        <f>IF(ISNUMBER(
   IF(D_I="SI",(Datos!K17-Datos!U17)/Datos!U17,(Datos!K17+Datos!AE17-(Datos!U17+Datos!AM17))/(Datos!U17+Datos!AM17))
     ),IF(D_I="SI",(Datos!K17-Datos!U17)/Datos!U17,(Datos!K17+Datos!AE17-(Datos!U17+Datos!AM17))/(Datos!U17+Datos!AM17))," - ")</f>
        <v>-0.22222222222222221</v>
      </c>
      <c r="E17" s="455">
        <f>IF(ISNUMBER(
   IF(D_I="SI",(Datos!L17-Datos!V17)/Datos!V17,(Datos!L17+Datos!AF17-(Datos!V17+Datos!AN17))/(Datos!V17+Datos!AN17))
     ),IF(D_I="SI",(Datos!L17-Datos!V17)/Datos!V17,(Datos!L17+Datos!AF17-(Datos!V17+Datos!AN17))/(Datos!V17+Datos!AN17))," - ")</f>
        <v>0.36363636363636365</v>
      </c>
      <c r="F17" s="455">
        <f>IF(ISNUMBER((Datos!M17-Datos!W17)/Datos!W17),(Datos!M17-Datos!W17)/Datos!W17," - ")</f>
        <v>-0.8</v>
      </c>
      <c r="G17" s="456">
        <f>IF(ISNUMBER((Datos!N17-Datos!X17)/Datos!X17),(Datos!N17-Datos!X17)/Datos!X17," - ")</f>
        <v>0.125</v>
      </c>
      <c r="H17" s="454">
        <f>IF(ISNUMBER(((NºAsuntos!G17/NºAsuntos!E17)-Datos!BD17)/Datos!BD17),((NºAsuntos!G17/NºAsuntos!E17)-Datos!BD17)/Datos!BD17," - ")</f>
        <v>0.16666666666666674</v>
      </c>
      <c r="I17" s="455">
        <f>IF(ISNUMBER(((NºAsuntos!I17/NºAsuntos!G17)-Datos!BE17)/Datos!BE17),((NºAsuntos!I17/NºAsuntos!G17)-Datos!BE17)/Datos!BE17," - ")</f>
        <v>0.75324675324675305</v>
      </c>
      <c r="J17" s="460">
        <f>IF(ISNUMBER((('Resol  Asuntos'!D17/NºAsuntos!G17)-Datos!BF17)/Datos!BF17),(('Resol  Asuntos'!D17/NºAsuntos!G17)-Datos!BF17)/Datos!BF17," - ")</f>
        <v>-0.74285714285714288</v>
      </c>
      <c r="K17" s="461">
        <f>IF(ISNUMBER((((NºAsuntos!C17+NºAsuntos!E17)/NºAsuntos!G17)-Datos!BG17)/Datos!BG17),(((NºAsuntos!C17+NºAsuntos!E17)/NºAsuntos!G17)-Datos!BG17)/Datos!BG17," - ")</f>
        <v>0.4142857142857142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0.20146520146520147</v>
      </c>
      <c r="C18" s="854">
        <f>IF(ISNUMBER(
   IF(Criterios!B14="SI",(Datos!J18-Datos!T18)/Datos!T18,(Datos!J18+Datos!AD18-(Datos!T18+Datos!AL18))/(Datos!T18+Datos!AL18))
     ),IF(Criterios!B14="SI",(Datos!J18-Datos!T18)/Datos!T18,(Datos!J18+Datos!AD18-(Datos!T18+Datos!AL18))/(Datos!T18+Datos!AL18))," - ")</f>
        <v>-6.1728395061728392E-2</v>
      </c>
      <c r="D18" s="854">
        <f>IF(ISNUMBER(
   IF(Criterios!B14="SI",(Datos!K18-Datos!U18)/Datos!U18,(Datos!K18+Datos!AE18-(Datos!U18+Datos!AM18))/(Datos!U18+Datos!AM18))
     ),IF(Criterios!B14="SI",(Datos!K18-Datos!U18)/Datos!U18,(Datos!K18+Datos!AE18-(Datos!U18+Datos!AM18))/(Datos!U18+Datos!AM18))," - ")</f>
        <v>-1.9455252918287938E-2</v>
      </c>
      <c r="E18" s="854">
        <f>IF(ISNUMBER(
   IF(Criterios!B14="SI",(Datos!L18-Datos!V18)/Datos!V18,(Datos!L18+Datos!AF18-(Datos!V18+Datos!AN18))/(Datos!V18+Datos!AN18))
     ),IF(Criterios!B14="SI",(Datos!L18-Datos!V18)/Datos!V18,(Datos!L18+Datos!AF18-(Datos!V18+Datos!AN18))/(Datos!V18+Datos!AN18))," - ")</f>
        <v>0.17374517374517376</v>
      </c>
      <c r="F18" s="855">
        <f>IF(ISNUMBER((Datos!M18-Datos!W18)/Datos!W18),(Datos!M18-Datos!W18)/Datos!W18," - ")</f>
        <v>-0.40909090909090912</v>
      </c>
      <c r="G18" s="856">
        <f>IF(ISNUMBER((Datos!N18-Datos!X18)/Datos!X18),(Datos!N18-Datos!X18)/Datos!X18," - ")</f>
        <v>-4.2780748663101602E-2</v>
      </c>
      <c r="H18" s="856">
        <f>IF(ISNUMBER(((NºAsuntos!G18/NºAsuntos!E18)-Datos!BD18)/Datos!BD18),((NºAsuntos!G18/NºAsuntos!E18)-Datos!BD18)/Datos!BD18," - ")</f>
        <v>4.5054269916035367E-2</v>
      </c>
      <c r="I18" s="856">
        <f>IF(ISNUMBER(((NºAsuntos!I18/NºAsuntos!G18)-Datos!BE18)/Datos!BE18),((NºAsuntos!I18/NºAsuntos!G18)-Datos!BE18)/Datos!BE18," - ")</f>
        <v>0.19703376846233986</v>
      </c>
      <c r="J18" s="856">
        <f>IF(ISNUMBER((('Resol  Asuntos'!D18/NºAsuntos!G18)-Datos!BF18)/Datos!BF18),(('Resol  Asuntos'!D18/NºAsuntos!G18)-Datos!BF18)/Datos!BF18," - ")</f>
        <v>-0.39736652236652242</v>
      </c>
      <c r="K18" s="856">
        <f>IF(ISNUMBER((((NºAsuntos!C18+NºAsuntos!E18)/NºAsuntos!G18)-Datos!BG18)/Datos!BG18),(((NºAsuntos!C18+NºAsuntos!E18)/NºAsuntos!G18)-Datos!BG18)/Datos!BG18," - ")</f>
        <v>9.8898732619662949E-2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0.15674891146589259</v>
      </c>
      <c r="C19" s="801">
        <f>IF(ISNUMBER(
   IF(J_V="SI",(Datos!J19-Datos!T19)/Datos!T19,(Datos!J19+Datos!Z19-(Datos!T19+Datos!AH19))/(Datos!T19+Datos!AH19))
     ),IF(J_V="SI",(Datos!J19-Datos!T19)/Datos!T19,(Datos!J19+Datos!Z19-(Datos!T19+Datos!AH19))/(Datos!T19+Datos!AH19))," - ")</f>
        <v>-0.17222222222222222</v>
      </c>
      <c r="D19" s="801">
        <f>IF(ISNUMBER(
   IF(J_V="SI",(Datos!K19-Datos!U19)/Datos!U19,(Datos!K19+Datos!AA19-(Datos!U19+Datos!AI19))/(Datos!U19+Datos!AI19))
     ),IF(J_V="SI",(Datos!K19-Datos!U19)/Datos!U19,(Datos!K19+Datos!AA19-(Datos!U19+Datos!AI19))/(Datos!U19+Datos!AI19))," - ")</f>
        <v>-0.21761658031088082</v>
      </c>
      <c r="E19" s="801">
        <f>IF(ISNUMBER(
   IF(J_V="SI",(Datos!L19-Datos!V19)/Datos!V19,(Datos!L19+Datos!AB19-(Datos!V19+Datos!AJ19))/(Datos!V19+Datos!AJ19))
     ),IF(J_V="SI",(Datos!L19-Datos!V19)/Datos!V19,(Datos!L19+Datos!AB19-(Datos!V19+Datos!AJ19))/(Datos!V19+Datos!AJ19))," - ")</f>
        <v>0.21692307692307691</v>
      </c>
      <c r="F19" s="802">
        <f>IF(ISNUMBER((Datos!M19-Datos!W19)/Datos!W19),(Datos!M19-Datos!W19)/Datos!W19," - ")</f>
        <v>-0.42519685039370081</v>
      </c>
      <c r="G19" s="803">
        <f>IF(ISNUMBER((Datos!N19-Datos!X19)/Datos!X19),(Datos!N19-Datos!X19)/Datos!X19," - ")</f>
        <v>0.18385650224215247</v>
      </c>
      <c r="H19" s="804">
        <f>IF(ISNUMBER((Tasas!B19-Datos!BD19)/Datos!BD19),(Tasas!B19-Datos!BD19)/Datos!BD19," - ")</f>
        <v>-5.4838821852070785E-2</v>
      </c>
      <c r="I19" s="805">
        <f>IF(ISNUMBER((Tasas!C19-Datos!BE19)/Datos!BE19),(Tasas!C19-Datos!BE19)/Datos!BE19," - ")</f>
        <v>0.55540499235863494</v>
      </c>
      <c r="J19" s="806">
        <f>IF(ISNUMBER((Tasas!D19-Datos!BF19)/Datos!BF19),(Tasas!D19-Datos!BF19)/Datos!BF19," - ")</f>
        <v>0.15190908347641235</v>
      </c>
      <c r="K19" s="806">
        <f>IF(ISNUMBER((Tasas!E19-Datos!BG19)/Datos!BG19),(Tasas!E19-Datos!BG19)/Datos!BG19," - ")</f>
        <v>0.29374552077551863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yvTK8M10KSQY3q8jRfcsdEHL3Rm5EN2NJ0R+685M5x8rNB+G36PlX0Nk9H9rppHguZ0RmYE8vx4u2uOQC2KUpA==" saltValue="t3QbFCBzj2x6p/UYOBgw8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ASTURIAS</v>
      </c>
    </row>
    <row r="3" spans="1:7" ht="19.5">
      <c r="A3" s="435" t="s">
        <v>12</v>
      </c>
      <c r="B3" s="390" t="str">
        <f>Criterios!A10 &amp;"  "&amp;Criterios!B10</f>
        <v>Provincias  ASTURIAS</v>
      </c>
    </row>
    <row r="4" spans="1:7" ht="11.25" customHeight="1" thickBot="1">
      <c r="B4" s="390" t="str">
        <f>Criterios!A11 &amp;"  "&amp;Criterios!B11</f>
        <v>Resumenes por Partidos Judiciales  LLANES</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v>
      </c>
      <c r="C10" s="442">
        <f>IF(ISNUMBER(NºAsuntos!I10/NºAsuntos!G10),NºAsuntos!I10/NºAsuntos!G10," - ")</f>
        <v>1</v>
      </c>
      <c r="D10" s="443">
        <f>IF(ISNUMBER('Resol  Asuntos'!D10/NºAsuntos!G10),'Resol  Asuntos'!D10/NºAsuntos!G10," - ")</f>
        <v>1</v>
      </c>
      <c r="E10" s="444">
        <f>IF(ISNUMBER((NºAsuntos!C10+NºAsuntos!E10)/NºAsuntos!G10),(NºAsuntos!C10+NºAsuntos!E10)/NºAsuntos!G10," - ")</f>
        <v>2</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0.91743119266055051</v>
      </c>
      <c r="C12" s="442">
        <f>IF(ISNUMBER(NºAsuntos!I12/NºAsuntos!G12),NºAsuntos!I12/NºAsuntos!G12," - ")</f>
        <v>2.4300000000000002</v>
      </c>
      <c r="D12" s="443">
        <f>IF(ISNUMBER('Resol  Asuntos'!D12/NºAsuntos!G12),'Resol  Asuntos'!D12/NºAsuntos!G12," - ")</f>
        <v>0.23</v>
      </c>
      <c r="E12" s="444">
        <f>IF(ISNUMBER((NºAsuntos!C12+NºAsuntos!E12)/NºAsuntos!G12),(NºAsuntos!C12+NºAsuntos!E12)/NºAsuntos!G12," - ")</f>
        <v>3.43</v>
      </c>
      <c r="G12" s="462"/>
    </row>
    <row r="13" spans="1:7" ht="14.25" thickTop="1" thickBot="1">
      <c r="A13" s="847" t="str">
        <f>Datos!A13</f>
        <v>TOTAL</v>
      </c>
      <c r="B13" s="857">
        <f>IF(ISNUMBER(NºAsuntos!G13/NºAsuntos!E13),NºAsuntos!G13/NºAsuntos!E13," - ")</f>
        <v>0.9178082191780822</v>
      </c>
      <c r="C13" s="858">
        <f>IF(ISNUMBER(NºAsuntos!I13/NºAsuntos!G13),NºAsuntos!I13/NºAsuntos!G13," - ")</f>
        <v>2.4228855721393034</v>
      </c>
      <c r="D13" s="859">
        <f>IF(ISNUMBER('Resol  Asuntos'!D13/NºAsuntos!G13),'Resol  Asuntos'!D13/NºAsuntos!G13," - ")</f>
        <v>0.23383084577114427</v>
      </c>
      <c r="E13" s="860">
        <f>IF(ISNUMBER((NºAsuntos!C13+NºAsuntos!E13)/NºAsuntos!G13),(NºAsuntos!C13+NºAsuntos!E13)/NºAsuntos!G13," - ")</f>
        <v>3.4228855721393034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1.1036036036036037</v>
      </c>
      <c r="C16" s="442">
        <f>IF(ISNUMBER(NºAsuntos!I16/NºAsuntos!G16),NºAsuntos!I16/NºAsuntos!G16," - ")</f>
        <v>1.1795918367346938</v>
      </c>
      <c r="D16" s="443">
        <f>IF(ISNUMBER('Resol  Asuntos'!D16/NºAsuntos!G16),'Resol  Asuntos'!D16/NºAsuntos!G16," - ")</f>
        <v>0.10204081632653061</v>
      </c>
      <c r="E16" s="444">
        <f>IF(ISNUMBER((NºAsuntos!C16+NºAsuntos!E16)/NºAsuntos!G16),(NºAsuntos!C16+NºAsuntos!E16)/NºAsuntos!G16," - ")</f>
        <v>2.1795918367346938</v>
      </c>
      <c r="G16" s="462"/>
    </row>
    <row r="17" spans="1:7" ht="21.75" thickBot="1">
      <c r="A17" s="401" t="str">
        <f>Datos!A17</f>
        <v>Jdos. Violencia contra la mujer/Secc Viol. TI.</v>
      </c>
      <c r="B17" s="441">
        <f>IF(ISNUMBER(NºAsuntos!G17/NºAsuntos!E17),NºAsuntos!G17/NºAsuntos!E17," - ")</f>
        <v>1.1666666666666667</v>
      </c>
      <c r="C17" s="442">
        <f>IF(ISNUMBER(NºAsuntos!I17/NºAsuntos!G17),NºAsuntos!I17/NºAsuntos!G17," - ")</f>
        <v>2.1428571428571428</v>
      </c>
      <c r="D17" s="443">
        <f>IF(ISNUMBER('Resol  Asuntos'!D17/NºAsuntos!G17),'Resol  Asuntos'!D17/NºAsuntos!G17," - ")</f>
        <v>0.14285714285714285</v>
      </c>
      <c r="E17" s="444">
        <f>IF(ISNUMBER((NºAsuntos!C17+NºAsuntos!E17)/NºAsuntos!G17),(NºAsuntos!C17+NºAsuntos!E17)/NºAsuntos!G17," - ")</f>
        <v>3.1428571428571428</v>
      </c>
      <c r="G17" s="462"/>
    </row>
    <row r="18" spans="1:7" ht="14.25" thickTop="1" thickBot="1">
      <c r="A18" s="847" t="str">
        <f>Datos!A18</f>
        <v>TOTAL</v>
      </c>
      <c r="B18" s="857">
        <f>IF(ISNUMBER(NºAsuntos!G18/NºAsuntos!E18),NºAsuntos!G18/NºAsuntos!E18," - ")</f>
        <v>1.1052631578947369</v>
      </c>
      <c r="C18" s="858">
        <f>IF(ISNUMBER(NºAsuntos!I18/NºAsuntos!G18),NºAsuntos!I18/NºAsuntos!G18," - ")</f>
        <v>1.2063492063492063</v>
      </c>
      <c r="D18" s="861">
        <f>IF(ISNUMBER('Resol  Asuntos'!D18/NºAsuntos!G18),'Resol  Asuntos'!D18/NºAsuntos!G18," - ")</f>
        <v>0.10317460317460317</v>
      </c>
      <c r="E18" s="860">
        <f>IF(ISNUMBER((NºAsuntos!C18+NºAsuntos!E18)/NºAsuntos!G18),(NºAsuntos!C18+NºAsuntos!E18)/NºAsuntos!G18," - ")</f>
        <v>2.2063492063492065</v>
      </c>
      <c r="G18" s="462"/>
    </row>
    <row r="19" spans="1:7" ht="15.75" customHeight="1" thickTop="1" thickBot="1">
      <c r="A19" s="792" t="str">
        <f>Datos!A19</f>
        <v>TOTAL JURISDICCIONES</v>
      </c>
      <c r="B19" s="807">
        <f>IF(ISNUMBER(NºAsuntos!G19/NºAsuntos!E19),NºAsuntos!G19/NºAsuntos!E19," - ")</f>
        <v>1.0134228187919463</v>
      </c>
      <c r="C19" s="808">
        <f>IF(ISNUMBER(NºAsuntos!I19/NºAsuntos!G19),NºAsuntos!I19/NºAsuntos!G19," - ")</f>
        <v>1.7461368653421634</v>
      </c>
      <c r="D19" s="809">
        <f>IF(ISNUMBER('Resol  Asuntos'!D19/NºAsuntos!G19),'Resol  Asuntos'!D19/NºAsuntos!G19," - ")</f>
        <v>0.16114790286975716</v>
      </c>
      <c r="E19" s="810">
        <f>IF(ISNUMBER((NºAsuntos!C19+NºAsuntos!E19)/NºAsuntos!G19),(NºAsuntos!C19+NºAsuntos!E19)/NºAsuntos!G19," - ")</f>
        <v>2.7461368653421632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5bjyIpNbfp0OFWULBBMaY6c0aK+w9CE9l8kqPLGKabCzpA26u+nhhGsJILdQhfP797ZTkHs9DOedzZPDLtJubg==" saltValue="F8tmZWhYcQZuphN8/MQJc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ASTURIAS</v>
      </c>
      <c r="G2" s="262"/>
      <c r="H2" s="261"/>
      <c r="I2" s="261"/>
      <c r="J2" s="261"/>
      <c r="K2" s="261"/>
      <c r="L2" s="261" t="str">
        <f>Criterios!A10 &amp;"  "&amp;Criterios!B10</f>
        <v>Provincias  ASTURIAS</v>
      </c>
      <c r="N2" s="261" t="str">
        <f>Criterios!A11 &amp;"  "&amp;Criterios!B11</f>
        <v>Resumenes por Partidos Judiciales  LLANES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v>
      </c>
      <c r="G10" s="332">
        <f>IF(ISNUMBER(Datos!I10),Datos!I10," - ")</f>
        <v>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v>
      </c>
      <c r="X10" s="225">
        <f>IF(ISNUMBER(Datos!Q10),Datos!Q10," - ")</f>
        <v>0</v>
      </c>
      <c r="Y10" s="333">
        <f t="shared" ref="Y10:Y12" si="0">SUM(W10:X10)</f>
        <v>1</v>
      </c>
      <c r="Z10" s="334" t="str">
        <f>IF(ISNUMBER(Datos!CC10),Datos!CC10," - ")</f>
        <v xml:space="preserve"> - </v>
      </c>
      <c r="AA10" s="331">
        <f>IF(ISNUMBER(Datos!L10),Datos!L10,"-")</f>
        <v>1</v>
      </c>
      <c r="AB10" s="333">
        <f>IF(ISNUMBER(Datos!R10),Datos!R10," - ")</f>
        <v>0</v>
      </c>
      <c r="AC10" s="333">
        <f t="shared" ref="AC10:AC12" si="1">IF(ISNUMBER(AA10+AB10),AA10+AB10," - ")</f>
        <v>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3</v>
      </c>
      <c r="AN10" s="243">
        <f>IF(ISNUMBER('Resol  Asuntos'!D10/NºAsuntos!G10),'Resol  Asuntos'!D10/NºAsuntos!G10," - ")</f>
        <v>1</v>
      </c>
      <c r="AO10" s="244">
        <f>IF(ISNUMBER((NºAsuntos!C10+NºAsuntos!E10)/NºAsuntos!G10),(NºAsuntos!C10+NºAsuntos!E10)/NºAsuntos!G10," - ")</f>
        <v>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37</v>
      </c>
      <c r="Y12" s="333">
        <f t="shared" si="0"/>
        <v>37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809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46</v>
      </c>
      <c r="AJ12" s="228" t="str">
        <f>IF(ISNUMBER(Datos!BW12),Datos!BW12," - ")</f>
        <v xml:space="preserve"> - </v>
      </c>
      <c r="AK12" s="227" t="str">
        <f>IF(ISNUMBER(Datos!BX12),Datos!BX12," - ")</f>
        <v xml:space="preserve"> - </v>
      </c>
      <c r="AL12" s="242">
        <f>IF(ISNUMBER(NºAsuntos!G12/NºAsuntos!E12),NºAsuntos!G12/NºAsuntos!E12," - ")</f>
        <v>0.91743119266055051</v>
      </c>
      <c r="AM12" s="259">
        <f>IF(ISNUMBER(((NºAsuntos!I12/NºAsuntos!G12)*11)/factor_trimestre),((NºAsuntos!I12/NºAsuntos!G12)*11)/factor_trimestre," - ")</f>
        <v>7.29</v>
      </c>
      <c r="AN12" s="243">
        <f>IF(ISNUMBER('Resol  Asuntos'!D12/NºAsuntos!G12),'Resol  Asuntos'!D12/NºAsuntos!G12," - ")</f>
        <v>0.23</v>
      </c>
      <c r="AO12" s="244">
        <f>IF(ISNUMBER((NºAsuntos!C12+NºAsuntos!E12)/NºAsuntos!G12),(NºAsuntos!C12+NºAsuntos!E12)/NºAsuntos!G12," - ")</f>
        <v>3.43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1</v>
      </c>
      <c r="G13" s="865">
        <f t="shared" si="3"/>
        <v>1</v>
      </c>
      <c r="H13" s="864">
        <f t="shared" si="3"/>
        <v>0</v>
      </c>
      <c r="I13" s="866">
        <f t="shared" si="3"/>
        <v>0</v>
      </c>
      <c r="J13" s="866">
        <f t="shared" si="3"/>
        <v>0</v>
      </c>
      <c r="K13" s="866">
        <f t="shared" si="3"/>
        <v>0</v>
      </c>
      <c r="L13" s="866">
        <f t="shared" si="3"/>
        <v>42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v>
      </c>
      <c r="X13" s="866">
        <f t="shared" si="4"/>
        <v>37</v>
      </c>
      <c r="Y13" s="867">
        <f t="shared" si="4"/>
        <v>38</v>
      </c>
      <c r="Z13" s="867">
        <f t="shared" si="4"/>
        <v>0</v>
      </c>
      <c r="AA13" s="867">
        <f t="shared" si="4"/>
        <v>1</v>
      </c>
      <c r="AB13" s="867">
        <f t="shared" si="4"/>
        <v>809</v>
      </c>
      <c r="AC13" s="867">
        <f t="shared" si="4"/>
        <v>1</v>
      </c>
      <c r="AD13" s="867">
        <f t="shared" si="4"/>
        <v>0</v>
      </c>
      <c r="AE13" s="871">
        <f t="shared" si="4"/>
        <v>0</v>
      </c>
      <c r="AF13" s="864">
        <f t="shared" si="4"/>
        <v>0</v>
      </c>
      <c r="AG13" s="872">
        <f t="shared" si="4"/>
        <v>0</v>
      </c>
      <c r="AH13" s="869">
        <f t="shared" si="4"/>
        <v>0</v>
      </c>
      <c r="AI13" s="864">
        <f t="shared" si="4"/>
        <v>47</v>
      </c>
      <c r="AJ13" s="866">
        <f t="shared" si="4"/>
        <v>0</v>
      </c>
      <c r="AK13" s="869">
        <f>SUBTOTAL(9,AK9:AK12)</f>
        <v>0</v>
      </c>
      <c r="AL13" s="873">
        <f>IF(ISNUMBER(NºAsuntos!G13/NºAsuntos!E13),NºAsuntos!G13/NºAsuntos!E13," - ")</f>
        <v>0.9178082191780822</v>
      </c>
      <c r="AM13" s="873">
        <f>IF(ISNUMBER(((NºAsuntos!I13/NºAsuntos!G13)*11)/factor_trimestre),((NºAsuntos!I13/NºAsuntos!G13)*11)/factor_trimestre," - ")</f>
        <v>7.2686567164179108</v>
      </c>
      <c r="AN13" s="874">
        <f>IF(ISNUMBER('Resol  Asuntos'!D13/NºAsuntos!G13),'Resol  Asuntos'!D13/NºAsuntos!G13," - ")</f>
        <v>0.23383084577114427</v>
      </c>
      <c r="AO13" s="875">
        <f>IF(ISNUMBER((NºAsuntos!C13+NºAsuntos!E13)/NºAsuntos!G13),(NºAsuntos!C13+NºAsuntos!E13)/NºAsuntos!G13," - ")</f>
        <v>3.4228855721393034</v>
      </c>
      <c r="AP13" s="876" t="str">
        <f t="shared" si="2"/>
        <v xml:space="preserve"> - </v>
      </c>
      <c r="AQ13" s="876">
        <f>IF(ISNUMBER((H13-W13+K13)/(F13)),(H13-W13+K13)/(F13)," - ")</f>
        <v>-1</v>
      </c>
      <c r="AR13" s="877">
        <f>IF(ISNUMBER((Datos!P13-Datos!Q13)/(Datos!R13-Datos!P13+Datos!Q13)),(Datos!P13-Datos!Q13)/(Datos!R13-Datos!P13+Datos!Q13)," - ")</f>
        <v>6.2189054726368162E-3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312</v>
      </c>
      <c r="G16" s="332">
        <f>IF(ISNUMBER(IF(D_I="SI",Datos!I16,Datos!I16+Datos!AC16)),IF(D_I="SI",Datos!I16,Datos!I16+Datos!AC16)," - ")</f>
        <v>312</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8</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245</v>
      </c>
      <c r="X16" s="225">
        <f>IF(ISNUMBER(Datos!Q16),Datos!Q16," - ")</f>
        <v>10</v>
      </c>
      <c r="Y16" s="333">
        <f t="shared" ref="Y16:Y17" si="7">SUM(W16:X16)</f>
        <v>255</v>
      </c>
      <c r="Z16" s="334" t="str">
        <f>IF(ISNUMBER(Datos!CC16),Datos!CC16," - ")</f>
        <v xml:space="preserve"> - </v>
      </c>
      <c r="AA16" s="331">
        <f>IF(ISNUMBER(IF(D_I="SI",Datos!L16,Datos!L16+Datos!AF16)),IF(D_I="SI",Datos!L16,Datos!L16+Datos!AF16)," - ")</f>
        <v>289</v>
      </c>
      <c r="AB16" s="333">
        <f>IF(ISNUMBER(Datos!R16),Datos!R16," - ")</f>
        <v>67</v>
      </c>
      <c r="AC16" s="333">
        <f t="shared" si="6"/>
        <v>356</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25</v>
      </c>
      <c r="AJ16" s="230" t="str">
        <f>IF(ISNUMBER(Datos!BW16),Datos!BW16," - ")</f>
        <v xml:space="preserve"> - </v>
      </c>
      <c r="AK16" s="231" t="str">
        <f>IF(ISNUMBER(Datos!BX16),Datos!BX16," - ")</f>
        <v xml:space="preserve"> - </v>
      </c>
      <c r="AL16" s="242">
        <f>IF(ISNUMBER(NºAsuntos!G16/NºAsuntos!E16),NºAsuntos!G16/NºAsuntos!E16," - ")</f>
        <v>1.1036036036036037</v>
      </c>
      <c r="AM16" s="259">
        <f>IF(ISNUMBER(((NºAsuntos!I16/NºAsuntos!G16)*11)/factor_trimestre),((NºAsuntos!I16/NºAsuntos!G16)*11)/factor_trimestre," - ")</f>
        <v>3.5387755102040814</v>
      </c>
      <c r="AN16" s="243">
        <f>IF(ISNUMBER('Resol  Asuntos'!D16/NºAsuntos!G16),'Resol  Asuntos'!D16/NºAsuntos!G16," - ")</f>
        <v>0.10204081632653061</v>
      </c>
      <c r="AO16" s="244">
        <f>IF(ISNUMBER((NºAsuntos!C16+NºAsuntos!E16)/NºAsuntos!G16),(NºAsuntos!C16+NºAsuntos!E16)/NºAsuntos!G16," - ")</f>
        <v>2.1795918367346938</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7</v>
      </c>
      <c r="X17" s="225">
        <f>IF(ISNUMBER(Datos!Q17),Datos!Q17," - ")</f>
        <v>0</v>
      </c>
      <c r="Y17" s="333">
        <f t="shared" si="7"/>
        <v>7</v>
      </c>
      <c r="Z17" s="334" t="str">
        <f>IF(ISNUMBER(Datos!CC17),Datos!CC17," - ")</f>
        <v xml:space="preserve"> - </v>
      </c>
      <c r="AA17" s="331">
        <f>IF(ISNUMBER(Datos!L17),Datos!L17,"-")</f>
        <v>15</v>
      </c>
      <c r="AB17" s="333">
        <f>IF(ISNUMBER(Datos!R17),Datos!R17," - ")</f>
        <v>0</v>
      </c>
      <c r="AC17" s="333">
        <f t="shared" si="6"/>
        <v>15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v>
      </c>
      <c r="AJ17" s="230" t="str">
        <f>IF(ISNUMBER(Datos!BW17),Datos!BW17," - ")</f>
        <v xml:space="preserve"> - </v>
      </c>
      <c r="AK17" s="231" t="str">
        <f>IF(ISNUMBER(Datos!BX17),Datos!BX17," - ")</f>
        <v xml:space="preserve"> - </v>
      </c>
      <c r="AL17" s="242">
        <f>IF(ISNUMBER(NºAsuntos!G17/NºAsuntos!E17),NºAsuntos!G17/NºAsuntos!E17," - ")</f>
        <v>1.1666666666666667</v>
      </c>
      <c r="AM17" s="259">
        <f>IF(ISNUMBER(((NºAsuntos!I17/NºAsuntos!G17)*11)/factor_trimestre),((NºAsuntos!I17/NºAsuntos!G17)*11)/factor_trimestre," - ")</f>
        <v>6.4285714285714279</v>
      </c>
      <c r="AN17" s="243">
        <f>IF(ISNUMBER('Resol  Asuntos'!D17/NºAsuntos!G17),'Resol  Asuntos'!D17/NºAsuntos!G17," - ")</f>
        <v>0.14285714285714285</v>
      </c>
      <c r="AO17" s="244">
        <f>IF(ISNUMBER((NºAsuntos!C17+NºAsuntos!E17)/NºAsuntos!G17),(NºAsuntos!C17+NºAsuntos!E17)/NºAsuntos!G17," - ")</f>
        <v>3.1428571428571428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312</v>
      </c>
      <c r="G18" s="865">
        <f>SUBTOTAL(9,G15:G17)</f>
        <v>328</v>
      </c>
      <c r="H18" s="864">
        <f t="shared" ref="H18:O18" si="10">SUBTOTAL(9,H14:H17)</f>
        <v>0</v>
      </c>
      <c r="I18" s="866">
        <f t="shared" si="10"/>
        <v>0</v>
      </c>
      <c r="J18" s="866">
        <f t="shared" si="10"/>
        <v>0</v>
      </c>
      <c r="K18" s="866">
        <f t="shared" si="10"/>
        <v>0</v>
      </c>
      <c r="L18" s="866">
        <f t="shared" si="10"/>
        <v>8</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252</v>
      </c>
      <c r="X18" s="866">
        <f t="shared" si="11"/>
        <v>10</v>
      </c>
      <c r="Y18" s="867">
        <f t="shared" si="11"/>
        <v>262</v>
      </c>
      <c r="Z18" s="867">
        <f t="shared" si="11"/>
        <v>0</v>
      </c>
      <c r="AA18" s="867">
        <f t="shared" si="11"/>
        <v>304</v>
      </c>
      <c r="AB18" s="867">
        <f t="shared" si="11"/>
        <v>67</v>
      </c>
      <c r="AC18" s="867">
        <f t="shared" si="11"/>
        <v>371</v>
      </c>
      <c r="AD18" s="867">
        <f t="shared" si="11"/>
        <v>0</v>
      </c>
      <c r="AE18" s="871">
        <f t="shared" si="11"/>
        <v>0</v>
      </c>
      <c r="AF18" s="864">
        <f t="shared" si="11"/>
        <v>0</v>
      </c>
      <c r="AG18" s="872">
        <f t="shared" si="11"/>
        <v>0</v>
      </c>
      <c r="AH18" s="869">
        <f t="shared" si="11"/>
        <v>0</v>
      </c>
      <c r="AI18" s="864">
        <f t="shared" si="11"/>
        <v>26</v>
      </c>
      <c r="AJ18" s="866">
        <f t="shared" si="11"/>
        <v>0</v>
      </c>
      <c r="AK18" s="869">
        <f t="shared" si="11"/>
        <v>0</v>
      </c>
      <c r="AL18" s="873">
        <f>IF(ISNUMBER(NºAsuntos!G18/NºAsuntos!E18),NºAsuntos!G18/NºAsuntos!E18," - ")</f>
        <v>1.1052631578947369</v>
      </c>
      <c r="AM18" s="873">
        <f>IF(ISNUMBER(((NºAsuntos!I18/NºAsuntos!G18)*11)/factor_trimestre),((NºAsuntos!I18/NºAsuntos!G18)*11)/factor_trimestre," - ")</f>
        <v>3.6190476190476191</v>
      </c>
      <c r="AN18" s="874">
        <f>IF(ISNUMBER('Resol  Asuntos'!D18/NºAsuntos!G18),'Resol  Asuntos'!D18/NºAsuntos!G18," - ")</f>
        <v>0.10317460317460317</v>
      </c>
      <c r="AO18" s="875">
        <f>IF(ISNUMBER((NºAsuntos!C18+NºAsuntos!E18)/NºAsuntos!G18),(NºAsuntos!C18+NºAsuntos!E18)/NºAsuntos!G18," - ")</f>
        <v>2.2063492063492065</v>
      </c>
      <c r="AP18" s="876" t="str">
        <f t="shared" si="2"/>
        <v xml:space="preserve"> - </v>
      </c>
      <c r="AQ18" s="876">
        <f>IF(ISNUMBER((H18-W18+K18)/(F18)),(H18-W18+K18)/(F18)," - ")</f>
        <v>-0.80769230769230771</v>
      </c>
      <c r="AR18" s="877">
        <f>IF(ISNUMBER((Datos!P18-Datos!Q18)/(Datos!R18-Datos!P18+Datos!Q18)),(Datos!P18-Datos!Q18)/(Datos!R18-Datos!P18+Datos!Q18)," - ")</f>
        <v>-2.8985507246376812E-2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313</v>
      </c>
      <c r="G19" s="820">
        <f t="shared" si="13"/>
        <v>329</v>
      </c>
      <c r="H19" s="819">
        <f t="shared" si="13"/>
        <v>0</v>
      </c>
      <c r="I19" s="821">
        <f t="shared" si="13"/>
        <v>0</v>
      </c>
      <c r="J19" s="821">
        <f t="shared" si="13"/>
        <v>0</v>
      </c>
      <c r="K19" s="880">
        <f t="shared" si="13"/>
        <v>0</v>
      </c>
      <c r="L19" s="821">
        <f t="shared" si="13"/>
        <v>50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253</v>
      </c>
      <c r="X19" s="820">
        <f t="shared" si="14"/>
        <v>47</v>
      </c>
      <c r="Y19" s="827">
        <f t="shared" si="14"/>
        <v>300</v>
      </c>
      <c r="Z19" s="827">
        <f t="shared" si="14"/>
        <v>0</v>
      </c>
      <c r="AA19" s="827">
        <f t="shared" si="14"/>
        <v>305</v>
      </c>
      <c r="AB19" s="827">
        <f t="shared" si="14"/>
        <v>876</v>
      </c>
      <c r="AC19" s="827">
        <f t="shared" si="14"/>
        <v>372</v>
      </c>
      <c r="AD19" s="827">
        <f t="shared" si="14"/>
        <v>0</v>
      </c>
      <c r="AE19" s="829">
        <f t="shared" si="14"/>
        <v>0</v>
      </c>
      <c r="AF19" s="830">
        <f t="shared" si="14"/>
        <v>0</v>
      </c>
      <c r="AG19" s="831">
        <f t="shared" si="14"/>
        <v>0</v>
      </c>
      <c r="AH19" s="829">
        <f t="shared" si="14"/>
        <v>0</v>
      </c>
      <c r="AI19" s="819">
        <f t="shared" si="14"/>
        <v>73</v>
      </c>
      <c r="AJ19" s="819">
        <f t="shared" si="14"/>
        <v>0</v>
      </c>
      <c r="AK19" s="829">
        <f t="shared" si="14"/>
        <v>0</v>
      </c>
      <c r="AL19" s="883">
        <f>IF(ISNUMBER(NºAsuntos!G19/NºAsuntos!E19),NºAsuntos!G19/NºAsuntos!E19," - ")</f>
        <v>1.0134228187919463</v>
      </c>
      <c r="AM19" s="884">
        <f>IF(ISNUMBER(((NºAsuntos!I19/NºAsuntos!G19)*11)/factor_trimestre),((NºAsuntos!I19/NºAsuntos!G19)*11)/factor_trimestre," - ")</f>
        <v>5.2384105960264904</v>
      </c>
      <c r="AN19" s="884">
        <f>IF(ISNUMBER('Resol  Asuntos'!D19/NºAsuntos!G19),'Resol  Asuntos'!D19/NºAsuntos!G19," - ")</f>
        <v>0.16114790286975716</v>
      </c>
      <c r="AO19" s="885">
        <f>IF(ISNUMBER((NºAsuntos!C19+NºAsuntos!E19)/NºAsuntos!G19),(NºAsuntos!C19+NºAsuntos!E19)/NºAsuntos!G19," - ")</f>
        <v>2.7461368653421632</v>
      </c>
      <c r="AP19" s="886" t="str">
        <f t="shared" si="2"/>
        <v xml:space="preserve"> - </v>
      </c>
      <c r="AQ19" s="887">
        <f>IF(OR(ISNUMBER(FIND("01",Criterios!A8,1)),ISNUMBER(FIND("02",Criterios!A8,1)),ISNUMBER(FIND("03",Criterios!A8,1)),ISNUMBER(FIND("04",Criterios!A8,1))),(I19-W19+K19)/(F19-K19),(H19-W19+K19)/(F19-K19))</f>
        <v>-0.80830670926517567</v>
      </c>
      <c r="AR19" s="888">
        <f>IF(ISNUMBER((Datos!P19-Datos!Q19)/(Datos!R19-Datos!P19+Datos!Q19)),(Datos!P19-Datos!Q19)/(Datos!R19-Datos!P19+Datos!Q19)," - ")</f>
        <v>3.4364261168384879E-3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131.6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179.5559337179736</v>
      </c>
      <c r="G21" s="252">
        <f>IF(ISNUMBER(STDEV(G8:G18)),STDEV(G8:G18),"-")</f>
        <v>172.18681714928121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134.51096609570538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20.37318499073394</v>
      </c>
      <c r="AJ21" s="251">
        <f t="shared" si="18"/>
        <v>0</v>
      </c>
      <c r="AK21" s="253">
        <f t="shared" si="18"/>
        <v>0</v>
      </c>
      <c r="AL21" s="248">
        <f t="shared" si="18"/>
        <v>0.10560370760568974</v>
      </c>
      <c r="AM21" s="249">
        <f t="shared" si="18"/>
        <v>2.0127296080071249</v>
      </c>
      <c r="AN21" s="249">
        <f t="shared" si="18"/>
        <v>0.3469514936042235</v>
      </c>
      <c r="AO21" s="250">
        <f t="shared" si="18"/>
        <v>0.67090986933570929</v>
      </c>
      <c r="AP21" s="290" t="str">
        <f t="shared" si="18"/>
        <v>-</v>
      </c>
      <c r="AQ21" s="291">
        <f t="shared" si="18"/>
        <v>0.13598207330510576</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ZefC+n+6MPFyi4zz7B8qtkkscVlrpfIcSyOlMg9Td9QCxmBGWa2n1JvY0mG3s6zjdVrx0qPE5UN0Wh9vUKpMlA==" saltValue="a4HGwPArp5Iu0/8J+RCNk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ASTURIAS</v>
      </c>
      <c r="E2" s="262"/>
    </row>
    <row r="3" spans="2:20" ht="17.25" customHeight="1">
      <c r="C3" s="266"/>
      <c r="D3" s="261" t="str">
        <f>Criterios!A10 &amp;"  "&amp;Criterios!B10</f>
        <v>Provincias  ASTURIAS</v>
      </c>
      <c r="E3" s="262"/>
    </row>
    <row r="4" spans="2:20" ht="17.25" customHeight="1" thickBot="1">
      <c r="D4" s="261" t="str">
        <f>Criterios!A11 &amp;"  "&amp;Criterios!B11</f>
        <v>Resumenes por Partidos Judiciales  LLANES</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v>
      </c>
      <c r="E10" s="347">
        <f>IF(ISNUMBER((Datos!J10-Datos!T10)/Datos!T10),(Datos!J10-Datos!T10)/Datos!T10," - ")</f>
        <v>0</v>
      </c>
      <c r="F10" s="347">
        <f>IF(ISNUMBER((Datos!K10-Datos!U10)/Datos!U10),(Datos!K10-Datos!U10)/Datos!U10," - ")</f>
        <v>0</v>
      </c>
      <c r="G10" s="348">
        <f>IF(ISNUMBER((Datos!L10-Datos!V10)/Datos!V10),(Datos!L10-Datos!V10)/Datos!V10," - ")</f>
        <v>0</v>
      </c>
      <c r="H10" s="229">
        <f>IF(ISNUMBER((Datos!M10-Datos!W10)/Datos!W10),(Datos!M10-Datos!W10)/Datos!W10," - ")</f>
        <v>0</v>
      </c>
      <c r="I10" s="349">
        <f>IF(ISNUMBER((Tasas!C10-Datos!BE10)/Datos!BE10),(Tasas!C10-Datos!BE10)/Datos!BE10," - ")</f>
        <v>0</v>
      </c>
      <c r="J10" s="348">
        <f>IF(ISNUMBER((Tasas!D10-Datos!BF10)/Datos!BF10),(Tasas!D10-Datos!BF10)/Datos!BF10," - ")</f>
        <v>0</v>
      </c>
      <c r="K10" s="350">
        <f>IF(ISNUMBER((Tasas!E10-Datos!BG10)/Datos!BG10),(Tasas!E10-Datos!BG10)/Datos!BG10," - ")</f>
        <v>0</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-0.43902439024390244</v>
      </c>
      <c r="I12" s="349">
        <f>IF(ISNUMBER((Tasas!C12-Datos!BE12)/Datos!BE12),(Tasas!C12-Datos!BE12)/Datos!BE12," - ")</f>
        <v>1.0000769230769233</v>
      </c>
      <c r="J12" s="348">
        <f>IF(ISNUMBER((Tasas!D12-Datos!BF12)/Datos!BF12),(Tasas!D12-Datos!BF12)/Datos!BF12," - ")</f>
        <v>1.0508333333333335</v>
      </c>
      <c r="K12" s="350">
        <f>IF(ISNUMBER((Tasas!E12-Datos!BG12)/Datos!BG12),(Tasas!E12-Datos!BG12)/Datos!BG12," - ")</f>
        <v>0.54856540084388195</v>
      </c>
      <c r="M12" t="e">
        <f>IF(Monitorios="SI",Datos!CE12,0)</f>
        <v>#REF!</v>
      </c>
      <c r="N12" t="e">
        <f>IF(Monitorios="SI",Datos!CF12,0)</f>
        <v>#REF!</v>
      </c>
      <c r="O12" t="e">
        <f>IF(Monitorios="SI",Datos!CG12,0)</f>
        <v>#REF!</v>
      </c>
      <c r="P12" t="e">
        <f>IF(Monitorios="SI",Datos!CH12,0)</f>
        <v>#REF!</v>
      </c>
      <c r="Q12">
        <f>IF(J_V="SI",0,Datos!AG12)</f>
        <v>8</v>
      </c>
      <c r="R12">
        <f>IF(J_V="SI",0,Datos!AH12)</f>
        <v>9</v>
      </c>
      <c r="S12">
        <f>IF(J_V="SI",0,Datos!AI12)</f>
        <v>7</v>
      </c>
      <c r="T12">
        <f>IF(J_V="SI",0,Datos!AJ12)</f>
        <v>10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-0.43373493975903615</v>
      </c>
      <c r="I13" s="356">
        <f>IF(ISNUMBER((Tasas!C13-Datos!BE13)/Datos!BE13),(Tasas!C13-Datos!BE13)/Datos!BE13," - ")</f>
        <v>0.99531752999707357</v>
      </c>
      <c r="J13" s="354">
        <f>IF(ISNUMBER((Tasas!D13-Datos!BF13)/Datos!BF13),(Tasas!D13-Datos!BF13)/Datos!BF13," - ")</f>
        <v>1.0349603334677961</v>
      </c>
      <c r="K13" s="357">
        <f>IF(ISNUMBER((Tasas!E13-Datos!BG13)/Datos!BG13),(Tasas!E13-Datos!BG13)/Datos!BG13," - ")</f>
        <v>0.54581929064355628</v>
      </c>
      <c r="M13" t="e">
        <f>IF(Monitorios="SI",Datos!CE13,0)</f>
        <v>#REF!</v>
      </c>
      <c r="N13" t="e">
        <f>IF(Monitorios="SI",Datos!CF13,0)</f>
        <v>#REF!</v>
      </c>
      <c r="O13" t="e">
        <f>IF(Monitorios="SI",Datos!CG13,0)</f>
        <v>#REF!</v>
      </c>
      <c r="P13" t="e">
        <f>IF(Monitorios="SI",Datos!CH13,0)</f>
        <v>#REF!</v>
      </c>
      <c r="Q13">
        <f>IF(J_V="SI",0,Datos!AG13)</f>
        <v>8</v>
      </c>
      <c r="R13">
        <f>IF(J_V="SI",0,Datos!AH13)</f>
        <v>9</v>
      </c>
      <c r="S13">
        <f>IF(J_V="SI",0,Datos!AI13)</f>
        <v>7</v>
      </c>
      <c r="T13">
        <f>IF(J_V="SI",0,Datos!AJ13)</f>
        <v>10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0.19083969465648856</v>
      </c>
      <c r="E16" s="347">
        <f>IF(ISNUMBER(
   IF(D_I="SI",(Datos!J16-Datos!T16)/Datos!T16,(Datos!J16+Datos!AD16-(Datos!T16+Datos!AL16))/(Datos!T16+Datos!AL16))
     ),IF(D_I="SI",(Datos!J16-Datos!T16)/Datos!T16,(Datos!J16+Datos!AD16-(Datos!T16+Datos!AL16))/(Datos!T16+Datos!AL16))," - ")</f>
        <v>-5.128205128205128E-2</v>
      </c>
      <c r="F16" s="347">
        <f>IF(ISNUMBER(
   IF(D_I="SI",(Datos!K16-Datos!U16)/Datos!U16,(Datos!K16+Datos!AE16-(Datos!U16+Datos!AM16))/(Datos!U16+Datos!AM16))
     ),IF(D_I="SI",(Datos!K16-Datos!U16)/Datos!U16,(Datos!K16+Datos!AE16-(Datos!U16+Datos!AM16))/(Datos!U16+Datos!AM16))," - ")</f>
        <v>-1.2096774193548387E-2</v>
      </c>
      <c r="G16" s="348">
        <f>IF(ISNUMBER(
   IF(D_I="SI",(Datos!L16-Datos!V16)/Datos!V16,(Datos!L16+Datos!AF16-(Datos!V16+Datos!AN16))/(Datos!V16+Datos!AN16))
     ),IF(D_I="SI",(Datos!L16-Datos!V16)/Datos!V16,(Datos!L16+Datos!AF16-(Datos!V16+Datos!AN16))/(Datos!V16+Datos!AN16))," - ")</f>
        <v>0.16532258064516128</v>
      </c>
      <c r="H16" s="229">
        <f>IF(ISNUMBER((Datos!M16-Datos!W16)/Datos!W16),(Datos!M16-Datos!W16)/Datos!W16," - ")</f>
        <v>-0.35897435897435898</v>
      </c>
      <c r="I16" s="349">
        <f>IF(ISNUMBER((Tasas!C16-Datos!BE16)/Datos!BE16),(Tasas!C16-Datos!BE16)/Datos!BE16," - ")</f>
        <v>0.17959183673469381</v>
      </c>
      <c r="J16" s="348">
        <f>IF(ISNUMBER((Tasas!D16-Datos!BF16)/Datos!BF16),(Tasas!D16-Datos!BF16)/Datos!BF16," - ")</f>
        <v>-0.3511250654107797</v>
      </c>
      <c r="K16" s="350">
        <f>IF(ISNUMBER((Tasas!E16-Datos!BG16)/Datos!BG16),(Tasas!E16-Datos!BG16)/Datos!BG16," - ")</f>
        <v>8.9795918367346905E-2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0.45454545454545453</v>
      </c>
      <c r="E17" s="347">
        <f>IF(ISNUMBER(
   IF(D_I="SI",(Datos!J17-Datos!T17)/Datos!T17,(Datos!J17+Datos!AD17-(Datos!T17+Datos!AL17))/(Datos!T17+Datos!AL17))
     ),IF(D_I="SI",(Datos!J17-Datos!T17)/Datos!T17,(Datos!J17+Datos!AD17-(Datos!T17+Datos!AL17))/(Datos!T17+Datos!AL17))," - ")</f>
        <v>-0.33333333333333331</v>
      </c>
      <c r="F17" s="347">
        <f>IF(ISNUMBER(
   IF(D_I="SI",(Datos!K17-Datos!U17)/Datos!U17,(Datos!K17+Datos!AE17-(Datos!U17+Datos!AM17))/(Datos!U17+Datos!AM17))
     ),IF(D_I="SI",(Datos!K17-Datos!U17)/Datos!U17,(Datos!K17+Datos!AE17-(Datos!U17+Datos!AM17))/(Datos!U17+Datos!AM17))," - ")</f>
        <v>-0.22222222222222221</v>
      </c>
      <c r="G17" s="348">
        <f>IF(ISNUMBER(
   IF(D_I="SI",(Datos!L17-Datos!V17)/Datos!V17,(Datos!L17+Datos!AF17-(Datos!V17+Datos!AN17))/(Datos!V17+Datos!AN17))
     ),IF(D_I="SI",(Datos!L17-Datos!V17)/Datos!V17,(Datos!L17+Datos!AF17-(Datos!V17+Datos!AN17))/(Datos!V17+Datos!AN17))," - ")</f>
        <v>0.36363636363636365</v>
      </c>
      <c r="H17" s="229">
        <f>IF(ISNUMBER((Datos!M17-Datos!W17)/Datos!W17),(Datos!M17-Datos!W17)/Datos!W17," - ")</f>
        <v>-0.8</v>
      </c>
      <c r="I17" s="349">
        <f>IF(ISNUMBER((Tasas!C17-Datos!BE17)/Datos!BE17),(Tasas!C17-Datos!BE17)/Datos!BE17," - ")</f>
        <v>0.75324675324675305</v>
      </c>
      <c r="J17" s="348">
        <f>IF(ISNUMBER((Tasas!D17-Datos!BF17)/Datos!BF17),(Tasas!D17-Datos!BF17)/Datos!BF17," - ")</f>
        <v>-0.74285714285714288</v>
      </c>
      <c r="K17" s="350">
        <f>IF(ISNUMBER((Tasas!E17-Datos!BG17)/Datos!BG17),(Tasas!E17-Datos!BG17)/Datos!BG17," - ")</f>
        <v>0.4142857142857142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0.20146520146520147</v>
      </c>
      <c r="E18" s="353">
        <f>IF(ISNUMBER(
   IF(D_I="SI",(Datos!J18-Datos!T18)/Datos!T18,(Datos!J18+Datos!AD18-(Datos!T18+Datos!AL18))/(Datos!T18+Datos!AL18))
     ),IF(D_I="SI",(Datos!J18-Datos!T18)/Datos!T18,(Datos!J18+Datos!AD18-(Datos!T18+Datos!AL18))/(Datos!T18+Datos!AL18))," - ")</f>
        <v>-6.1728395061728392E-2</v>
      </c>
      <c r="F18" s="353">
        <f>IF(ISNUMBER(
   IF(D_I="SI",(Datos!K18-Datos!U18)/Datos!U18,(Datos!K18+Datos!AE18-(Datos!U18+Datos!AM18))/(Datos!U18+Datos!AM18))
     ),IF(D_I="SI",(Datos!K18-Datos!U18)/Datos!U18,(Datos!K18+Datos!AE18-(Datos!U18+Datos!AM18))/(Datos!U18+Datos!AM18))," - ")</f>
        <v>-1.9455252918287938E-2</v>
      </c>
      <c r="G18" s="354">
        <f>IF(ISNUMBER(
   IF(D_I="SI",(Datos!L18-Datos!V18)/Datos!V18,(Datos!L18+Datos!AF18-(Datos!V18+Datos!AN18))/(Datos!V18+Datos!AN18))
     ),IF(D_I="SI",(Datos!L18-Datos!V18)/Datos!V18,(Datos!L18+Datos!AF18-(Datos!V18+Datos!AN18))/(Datos!V18+Datos!AN18))," - ")</f>
        <v>0.17374517374517376</v>
      </c>
      <c r="H18" s="355">
        <f>IF(ISNUMBER((Datos!M18-Datos!W18)/Datos!W18),(Datos!M18-Datos!W18)/Datos!W18," - ")</f>
        <v>-0.40909090909090912</v>
      </c>
      <c r="I18" s="356">
        <f>IF(ISNUMBER((Tasas!C18-Datos!BE18)/Datos!BE18),(Tasas!C18-Datos!BE18)/Datos!BE18," - ")</f>
        <v>0.19703376846233986</v>
      </c>
      <c r="J18" s="354">
        <f>IF(ISNUMBER((Tasas!D18-Datos!BF18)/Datos!BF18),(Tasas!D18-Datos!BF18)/Datos!BF18," - ")</f>
        <v>-0.39736652236652242</v>
      </c>
      <c r="K18" s="357">
        <f>IF(ISNUMBER((Tasas!E18-Datos!BG18)/Datos!BG18),(Tasas!E18-Datos!BG18)/Datos!BG18," - ")</f>
        <v>9.8898732619662949E-2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0.15674891146589259</v>
      </c>
      <c r="E19" s="362">
        <f>IF(ISNUMBER(
   IF(J_V="SI",(Datos!J19-Datos!T19)/Datos!T19,(Datos!J19+Datos!Z19-(Datos!T19+Datos!AH19))/(Datos!T19+Datos!AH19))
     ),IF(J_V="SI",(Datos!J19-Datos!T19)/Datos!T19,(Datos!J19+Datos!Z19-(Datos!T19+Datos!AH19))/(Datos!T19+Datos!AH19))," - ")</f>
        <v>-0.17222222222222222</v>
      </c>
      <c r="F19" s="362">
        <f>IF(ISNUMBER(
   IF(J_V="SI",(Datos!K19-Datos!U19)/Datos!U19,(Datos!K19+Datos!AA19-(Datos!U19+Datos!AI19))/(Datos!U19+Datos!AI19))
     ),IF(J_V="SI",(Datos!K19-Datos!U19)/Datos!U19,(Datos!K19+Datos!AA19-(Datos!U19+Datos!AI19))/(Datos!U19+Datos!AI19))," - ")</f>
        <v>-0.21761658031088082</v>
      </c>
      <c r="G19" s="363">
        <f>IF(ISNUMBER(
   IF(J_V="SI",(Datos!L19-Datos!V19)/Datos!V19,(Datos!L19+Datos!AB19-(Datos!V19+Datos!AJ19))/(Datos!V19+Datos!AJ19))
     ),IF(J_V="SI",(Datos!L19-Datos!V19)/Datos!V19,(Datos!L19+Datos!AB19-(Datos!V19+Datos!AJ19))/(Datos!V19+Datos!AJ19))," - ")</f>
        <v>0.21692307692307691</v>
      </c>
      <c r="H19" s="364">
        <f>IF(ISNUMBER((Datos!M19-Datos!W19)/Datos!W19),(Datos!M19-Datos!W19)/Datos!W19," - ")</f>
        <v>-0.42519685039370081</v>
      </c>
      <c r="I19" s="361">
        <f>IF(ISNUMBER((Tasas!C19-Datos!BE19)/Datos!BE19),(Tasas!C19-Datos!BE19)/Datos!BE19," - ")</f>
        <v>0.55540499235863494</v>
      </c>
      <c r="J19" s="362">
        <f>IF(ISNUMBER((Tasas!D19-Datos!BF19)/Datos!BF19),(Tasas!D19-Datos!BF19)/Datos!BF19," - ")</f>
        <v>0.15190908347641235</v>
      </c>
      <c r="K19" s="363">
        <f>IF(ISNUMBER((Tasas!E19-Datos!BG19)/Datos!BG19),(Tasas!E19-Datos!BG19)/Datos!BG19," - ")</f>
        <v>0.29374552077551863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0.18648566307687339</v>
      </c>
      <c r="E21" s="277">
        <f t="shared" si="1"/>
        <v>0.15027271013903365</v>
      </c>
      <c r="F21" s="277">
        <f t="shared" si="1"/>
        <v>0.10615587981065193</v>
      </c>
      <c r="G21" s="278">
        <f t="shared" si="1"/>
        <v>0.14866301563903295</v>
      </c>
      <c r="H21" s="284">
        <f t="shared" si="1"/>
        <v>0.25461693675384067</v>
      </c>
      <c r="I21" s="276">
        <f t="shared" si="1"/>
        <v>0.44752316932371522</v>
      </c>
      <c r="J21" s="277">
        <f t="shared" si="1"/>
        <v>0.76805275278352858</v>
      </c>
      <c r="K21" s="278">
        <f t="shared" si="1"/>
        <v>0.24825185882634365</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9qq27Rv32gv6vAPopa3kOEKLdXlPSJ8TdnhB3CU8gUiX7qROFsJiUlH8TDEQcPt6AODLf3WVBW0GFWdDS+HOJg==" saltValue="YR6jQavtxaUmcVAXqWInZ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2026-03-17T18:05:06Z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